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e741b3b8ae76743/Parish Council/Finance and Accounts/2024-2025/"/>
    </mc:Choice>
  </mc:AlternateContent>
  <xr:revisionPtr revIDLastSave="78" documentId="8_{495862CE-221C-4294-B96A-B47B2A551A90}" xr6:coauthVersionLast="47" xr6:coauthVersionMax="47" xr10:uidLastSave="{4DE9E8A2-09CF-441A-97E9-8F7ABE6E40E4}"/>
  <bookViews>
    <workbookView xWindow="-120" yWindow="-120" windowWidth="19440" windowHeight="14880" tabRatio="809" firstSheet="2" activeTab="2" xr2:uid="{00000000-000D-0000-FFFF-FFFF00000000}"/>
  </bookViews>
  <sheets>
    <sheet name="2024-25 Running" sheetId="17" state="hidden" r:id="rId1"/>
    <sheet name="Ear Marked Funds" sheetId="19" state="hidden" r:id="rId2"/>
    <sheet name="Bank Account" sheetId="2" r:id="rId3"/>
    <sheet name="Grants" sheetId="24" state="hidden" r:id="rId4"/>
    <sheet name="Bank Recon" sheetId="13" state="hidden" r:id="rId5"/>
    <sheet name="Year to Date" sheetId="10" state="hidden" r:id="rId6"/>
    <sheet name="Variances" sheetId="21" state="hidden" r:id="rId7"/>
    <sheet name="Annual Return" sheetId="16" state="hidden" r:id="rId8"/>
    <sheet name="Budget 2025-26" sheetId="20" state="hidden" r:id="rId9"/>
  </sheets>
  <externalReferences>
    <externalReference r:id="rId10"/>
  </externalReferences>
  <definedNames>
    <definedName name="_xlnm._FilterDatabase" localSheetId="2" hidden="1">'Bank Account'!$A$1:$H$151</definedName>
    <definedName name="_xlnm._FilterDatabase" localSheetId="3" hidden="1">Grants!$A$5:$L$7</definedName>
    <definedName name="_xlnm.Print_Area" localSheetId="2">'Bank Account'!$A$1:$H$153</definedName>
    <definedName name="_xlnm.Print_Area" localSheetId="4">'Bank Recon'!#REF!</definedName>
    <definedName name="_xlnm.Print_Area" localSheetId="3">Grants!$B$1:$L$7</definedName>
    <definedName name="_xlnm.Print_Area" localSheetId="6">Variances!#REF!</definedName>
    <definedName name="_xlnm.Print_Area" localSheetId="5">'Year to Date'!#REF!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4" i="2" l="1"/>
  <c r="C11" i="16"/>
  <c r="H144" i="2"/>
  <c r="H145" i="2"/>
  <c r="H146" i="2"/>
  <c r="H147" i="2"/>
  <c r="H141" i="2"/>
  <c r="H142" i="2"/>
  <c r="H143" i="2"/>
  <c r="H148" i="2"/>
  <c r="H133" i="2"/>
  <c r="H134" i="2"/>
  <c r="H135" i="2"/>
  <c r="H138" i="2"/>
  <c r="H139" i="2"/>
  <c r="H140" i="2"/>
  <c r="H121" i="2"/>
  <c r="H122" i="2"/>
  <c r="H123" i="2"/>
  <c r="H124" i="2"/>
  <c r="H125" i="2"/>
  <c r="H126" i="2"/>
  <c r="H127" i="2"/>
  <c r="H128" i="2"/>
  <c r="F53" i="20" l="1"/>
  <c r="P2" i="20" l="1"/>
  <c r="L10" i="20"/>
  <c r="M10" i="20"/>
  <c r="Q10" i="20" s="1"/>
  <c r="L13" i="20"/>
  <c r="M13" i="20"/>
  <c r="G25" i="20"/>
  <c r="B34" i="20" l="1"/>
  <c r="B39" i="20"/>
  <c r="H75" i="2" l="1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4" i="2"/>
  <c r="H115" i="2"/>
  <c r="H116" i="2"/>
  <c r="H117" i="2"/>
  <c r="H118" i="2"/>
  <c r="H119" i="2"/>
  <c r="H129" i="2"/>
  <c r="H130" i="2"/>
  <c r="H131" i="2"/>
  <c r="H45" i="2"/>
  <c r="H46" i="2"/>
  <c r="H47" i="2"/>
  <c r="H48" i="2"/>
  <c r="H49" i="2"/>
  <c r="H50" i="2"/>
  <c r="H51" i="2"/>
  <c r="H54" i="2"/>
  <c r="H55" i="2"/>
  <c r="H56" i="2"/>
  <c r="H57" i="2"/>
  <c r="H58" i="2"/>
  <c r="H59" i="2"/>
  <c r="H60" i="2"/>
  <c r="H61" i="2"/>
  <c r="H62" i="2"/>
  <c r="H63" i="2"/>
  <c r="H64" i="2"/>
  <c r="H66" i="2"/>
  <c r="H67" i="2"/>
  <c r="H68" i="2"/>
  <c r="H69" i="2"/>
  <c r="H70" i="2"/>
  <c r="H71" i="2"/>
  <c r="H72" i="2"/>
  <c r="H73" i="2"/>
  <c r="H74" i="2"/>
  <c r="G36" i="20" l="1"/>
  <c r="F36" i="20"/>
  <c r="Q13" i="20"/>
  <c r="M12" i="20"/>
  <c r="Q12" i="20" s="1"/>
  <c r="M11" i="20"/>
  <c r="M4" i="20"/>
  <c r="M5" i="20"/>
  <c r="M6" i="20"/>
  <c r="M2" i="20" s="1"/>
  <c r="M7" i="20"/>
  <c r="M8" i="20"/>
  <c r="M9" i="20"/>
  <c r="M3" i="20"/>
  <c r="L12" i="20"/>
  <c r="L11" i="20"/>
  <c r="L4" i="20"/>
  <c r="L5" i="20"/>
  <c r="L6" i="20"/>
  <c r="L7" i="20"/>
  <c r="L8" i="20"/>
  <c r="L9" i="20"/>
  <c r="L3" i="20"/>
  <c r="L2" i="20" s="1"/>
  <c r="C4" i="20"/>
  <c r="C5" i="20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6" i="20"/>
  <c r="C28" i="20"/>
  <c r="C3" i="20"/>
  <c r="B4" i="20"/>
  <c r="B5" i="20"/>
  <c r="B6" i="20"/>
  <c r="B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6" i="20"/>
  <c r="B27" i="20"/>
  <c r="B28" i="20"/>
  <c r="B3" i="2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21" i="10"/>
  <c r="C16" i="10"/>
  <c r="D16" i="10"/>
  <c r="I13" i="17"/>
  <c r="D17" i="10"/>
  <c r="D15" i="10"/>
  <c r="D14" i="10"/>
  <c r="D13" i="10"/>
  <c r="D7" i="10"/>
  <c r="D8" i="10"/>
  <c r="D9" i="10"/>
  <c r="D10" i="10"/>
  <c r="D11" i="10"/>
  <c r="D12" i="10"/>
  <c r="D6" i="10"/>
  <c r="C17" i="10"/>
  <c r="C15" i="10"/>
  <c r="C14" i="10"/>
  <c r="C7" i="10"/>
  <c r="C8" i="10"/>
  <c r="C9" i="10"/>
  <c r="C10" i="10"/>
  <c r="C11" i="10"/>
  <c r="C12" i="10"/>
  <c r="C13" i="10"/>
  <c r="C6" i="10"/>
  <c r="B59" i="10"/>
  <c r="B58" i="10"/>
  <c r="B57" i="10"/>
  <c r="F14" i="24"/>
  <c r="F153" i="2"/>
  <c r="E153" i="2"/>
  <c r="I15" i="17" s="1"/>
  <c r="D13" i="13"/>
  <c r="D12" i="16" s="1"/>
  <c r="I4" i="17"/>
  <c r="B5" i="19"/>
  <c r="B22" i="19" s="1"/>
  <c r="B4" i="19"/>
  <c r="B3" i="19"/>
  <c r="I23" i="17"/>
  <c r="B23" i="10" s="1"/>
  <c r="I24" i="17"/>
  <c r="B24" i="10" s="1"/>
  <c r="I25" i="17"/>
  <c r="B25" i="10" s="1"/>
  <c r="I26" i="17"/>
  <c r="B26" i="10" s="1"/>
  <c r="I27" i="17"/>
  <c r="B27" i="10" s="1"/>
  <c r="I28" i="17"/>
  <c r="D10" i="20" s="1"/>
  <c r="I29" i="17"/>
  <c r="B29" i="10" s="1"/>
  <c r="I30" i="17"/>
  <c r="B30" i="10" s="1"/>
  <c r="I31" i="17"/>
  <c r="B31" i="10" s="1"/>
  <c r="I32" i="17"/>
  <c r="B32" i="10" s="1"/>
  <c r="I33" i="17"/>
  <c r="B33" i="10" s="1"/>
  <c r="I34" i="17"/>
  <c r="B34" i="10" s="1"/>
  <c r="I35" i="17"/>
  <c r="B35" i="10" s="1"/>
  <c r="I36" i="17"/>
  <c r="B36" i="10" s="1"/>
  <c r="I37" i="17"/>
  <c r="B37" i="10" s="1"/>
  <c r="I38" i="17"/>
  <c r="B38" i="10" s="1"/>
  <c r="I39" i="17"/>
  <c r="B39" i="10" s="1"/>
  <c r="I40" i="17"/>
  <c r="B40" i="10" s="1"/>
  <c r="I41" i="17"/>
  <c r="B41" i="10" s="1"/>
  <c r="I42" i="17"/>
  <c r="B42" i="10" s="1"/>
  <c r="I44" i="17"/>
  <c r="B44" i="10" s="1"/>
  <c r="I45" i="17"/>
  <c r="B45" i="10" s="1"/>
  <c r="I46" i="17"/>
  <c r="B46" i="10" s="1"/>
  <c r="F17" i="21"/>
  <c r="E149" i="2"/>
  <c r="F149" i="2"/>
  <c r="XDE149" i="2"/>
  <c r="I22" i="17" l="1"/>
  <c r="B22" i="10" s="1"/>
  <c r="B16" i="10"/>
  <c r="N11" i="20"/>
  <c r="I43" i="17"/>
  <c r="B43" i="10" s="1"/>
  <c r="D16" i="20"/>
  <c r="D15" i="20"/>
  <c r="D13" i="20"/>
  <c r="D8" i="20"/>
  <c r="D5" i="20"/>
  <c r="D7" i="20"/>
  <c r="D24" i="20"/>
  <c r="D14" i="20"/>
  <c r="D6" i="20"/>
  <c r="D22" i="20"/>
  <c r="D12" i="20"/>
  <c r="D23" i="20"/>
  <c r="D8" i="16"/>
  <c r="D21" i="20"/>
  <c r="D11" i="20"/>
  <c r="D26" i="20"/>
  <c r="D20" i="20"/>
  <c r="D27" i="20"/>
  <c r="D17" i="20"/>
  <c r="D9" i="20"/>
  <c r="D28" i="20"/>
  <c r="D18" i="20"/>
  <c r="D19" i="20"/>
  <c r="E151" i="2"/>
  <c r="B14" i="10"/>
  <c r="I21" i="17"/>
  <c r="D3" i="20" s="1"/>
  <c r="I56" i="17"/>
  <c r="I55" i="17"/>
  <c r="I54" i="17"/>
  <c r="I53" i="17"/>
  <c r="I64" i="17"/>
  <c r="A64" i="17"/>
  <c r="A54" i="17"/>
  <c r="A59" i="17" s="1"/>
  <c r="J48" i="17"/>
  <c r="E47" i="17"/>
  <c r="E50" i="17" s="1"/>
  <c r="A47" i="17"/>
  <c r="A50" i="17" s="1"/>
  <c r="J46" i="17"/>
  <c r="J45" i="17"/>
  <c r="J44" i="17"/>
  <c r="J42" i="17"/>
  <c r="J41" i="17"/>
  <c r="J40" i="17"/>
  <c r="J39" i="17"/>
  <c r="J38" i="17"/>
  <c r="J37" i="17"/>
  <c r="J36" i="17"/>
  <c r="J35" i="17"/>
  <c r="J34" i="17"/>
  <c r="J33" i="17"/>
  <c r="J32" i="17"/>
  <c r="J31" i="17"/>
  <c r="J30" i="17"/>
  <c r="J29" i="17"/>
  <c r="J28" i="17"/>
  <c r="J27" i="17"/>
  <c r="J26" i="17"/>
  <c r="J25" i="17"/>
  <c r="J24" i="17"/>
  <c r="E18" i="17"/>
  <c r="E49" i="17" s="1"/>
  <c r="E51" i="17" s="1"/>
  <c r="A18" i="17"/>
  <c r="A49" i="17" s="1"/>
  <c r="A51" i="17" s="1"/>
  <c r="J13" i="17"/>
  <c r="C22" i="19"/>
  <c r="C21" i="19"/>
  <c r="B20" i="19"/>
  <c r="B23" i="19" s="1"/>
  <c r="B24" i="19" s="1"/>
  <c r="B18" i="19"/>
  <c r="C17" i="19"/>
  <c r="B17" i="19"/>
  <c r="C16" i="19"/>
  <c r="C15" i="19"/>
  <c r="B13" i="19"/>
  <c r="C12" i="19"/>
  <c r="C11" i="19"/>
  <c r="C13" i="19" s="1"/>
  <c r="B6" i="19"/>
  <c r="J22" i="17" l="1"/>
  <c r="D4" i="20"/>
  <c r="J43" i="17"/>
  <c r="D30" i="13"/>
  <c r="J15" i="17"/>
  <c r="I47" i="17"/>
  <c r="I50" i="17" s="1"/>
  <c r="B21" i="10"/>
  <c r="J21" i="17"/>
  <c r="I59" i="17"/>
  <c r="J23" i="17"/>
  <c r="C20" i="19"/>
  <c r="C23" i="19" s="1"/>
  <c r="C24" i="19" s="1"/>
  <c r="J47" i="17" l="1"/>
  <c r="I12" i="24"/>
  <c r="I14" i="24" s="1"/>
  <c r="H12" i="24"/>
  <c r="H14" i="24" s="1"/>
  <c r="G12" i="24"/>
  <c r="G14" i="24" s="1"/>
  <c r="F12" i="24"/>
  <c r="G136" i="2"/>
  <c r="D35" i="13"/>
  <c r="D32" i="13"/>
  <c r="H12" i="2"/>
  <c r="H10" i="2"/>
  <c r="H13" i="2"/>
  <c r="H11" i="2"/>
  <c r="H7" i="2"/>
  <c r="H9" i="2"/>
  <c r="H8" i="2"/>
  <c r="H15" i="2"/>
  <c r="H18" i="2"/>
  <c r="H26" i="2"/>
  <c r="H24" i="2"/>
  <c r="H22" i="2"/>
  <c r="H23" i="2"/>
  <c r="H25" i="2"/>
  <c r="H29" i="2"/>
  <c r="H38" i="2"/>
  <c r="H37" i="2"/>
  <c r="H32" i="2"/>
  <c r="H36" i="2"/>
  <c r="H34" i="2"/>
  <c r="H33" i="2"/>
  <c r="H35" i="2"/>
  <c r="H39" i="2"/>
  <c r="H40" i="2"/>
  <c r="H43" i="2"/>
  <c r="H41" i="2"/>
  <c r="H42" i="2"/>
  <c r="H44" i="2"/>
  <c r="B37" i="13"/>
  <c r="D29" i="13"/>
  <c r="B21" i="13"/>
  <c r="D19" i="13"/>
  <c r="D61" i="10"/>
  <c r="B60" i="10"/>
  <c r="B61" i="10" s="1"/>
  <c r="B49" i="10"/>
  <c r="B28" i="10"/>
  <c r="B47" i="10" s="1"/>
  <c r="B53" i="10" s="1"/>
  <c r="J29" i="21"/>
  <c r="I29" i="21"/>
  <c r="H29" i="21"/>
  <c r="L29" i="21" s="1"/>
  <c r="M29" i="21" s="1"/>
  <c r="G29" i="21"/>
  <c r="J27" i="21"/>
  <c r="I27" i="21"/>
  <c r="H27" i="21"/>
  <c r="L27" i="21" s="1"/>
  <c r="M27" i="21" s="1"/>
  <c r="G27" i="21"/>
  <c r="D23" i="21"/>
  <c r="J19" i="21"/>
  <c r="I19" i="21"/>
  <c r="H19" i="21"/>
  <c r="L19" i="21" s="1"/>
  <c r="M19" i="21" s="1"/>
  <c r="G19" i="21"/>
  <c r="G17" i="21"/>
  <c r="M11" i="21"/>
  <c r="C6" i="16"/>
  <c r="I44" i="20"/>
  <c r="J44" i="20" s="1"/>
  <c r="K44" i="20" s="1"/>
  <c r="L44" i="20" s="1"/>
  <c r="I36" i="20"/>
  <c r="H45" i="20"/>
  <c r="G45" i="20"/>
  <c r="F45" i="20"/>
  <c r="B32" i="20"/>
  <c r="G28" i="20"/>
  <c r="G27" i="20"/>
  <c r="G26" i="20"/>
  <c r="G24" i="20"/>
  <c r="G23" i="20"/>
  <c r="G22" i="20"/>
  <c r="G21" i="20"/>
  <c r="G20" i="20"/>
  <c r="G19" i="20"/>
  <c r="G18" i="20"/>
  <c r="G17" i="20"/>
  <c r="G16" i="20"/>
  <c r="G15" i="20"/>
  <c r="G14" i="20"/>
  <c r="G13" i="20"/>
  <c r="G12" i="20"/>
  <c r="Q11" i="20"/>
  <c r="G11" i="20"/>
  <c r="G10" i="20"/>
  <c r="Q9" i="20"/>
  <c r="G9" i="20"/>
  <c r="Q8" i="20"/>
  <c r="G8" i="20"/>
  <c r="Q7" i="20"/>
  <c r="G7" i="20"/>
  <c r="Q6" i="20"/>
  <c r="G6" i="20"/>
  <c r="Q5" i="20"/>
  <c r="G5" i="20"/>
  <c r="Q4" i="20"/>
  <c r="G4" i="20"/>
  <c r="Q3" i="20"/>
  <c r="G3" i="20"/>
  <c r="D2" i="20"/>
  <c r="G32" i="20" s="1"/>
  <c r="C2" i="20"/>
  <c r="H33" i="20"/>
  <c r="O2" i="20"/>
  <c r="G33" i="20"/>
  <c r="F33" i="20"/>
  <c r="F2" i="20"/>
  <c r="H32" i="20" s="1"/>
  <c r="E2" i="20"/>
  <c r="B2" i="20"/>
  <c r="F32" i="20" s="1"/>
  <c r="G52" i="2" l="1"/>
  <c r="H46" i="20"/>
  <c r="H47" i="20"/>
  <c r="H48" i="20" s="1"/>
  <c r="I45" i="20"/>
  <c r="J36" i="20"/>
  <c r="J45" i="20" s="1"/>
  <c r="G2" i="20"/>
  <c r="Q2" i="20"/>
  <c r="I17" i="17"/>
  <c r="N12" i="20" s="1"/>
  <c r="I7" i="17"/>
  <c r="N4" i="20" s="1"/>
  <c r="I14" i="17"/>
  <c r="N13" i="20" s="1"/>
  <c r="I16" i="17"/>
  <c r="N10" i="20" s="1"/>
  <c r="I8" i="17"/>
  <c r="N5" i="20" s="1"/>
  <c r="I11" i="17"/>
  <c r="N8" i="20" s="1"/>
  <c r="I10" i="17"/>
  <c r="N7" i="20" s="1"/>
  <c r="I12" i="17"/>
  <c r="N9" i="20" s="1"/>
  <c r="I9" i="17"/>
  <c r="J9" i="17" s="1"/>
  <c r="D18" i="10"/>
  <c r="D52" i="10" s="1"/>
  <c r="D47" i="10"/>
  <c r="D53" i="10" s="1"/>
  <c r="C18" i="10"/>
  <c r="C47" i="10"/>
  <c r="I6" i="17"/>
  <c r="N3" i="20" s="1"/>
  <c r="F13" i="21"/>
  <c r="D21" i="13"/>
  <c r="H17" i="21"/>
  <c r="I17" i="21"/>
  <c r="J17" i="21"/>
  <c r="K19" i="21"/>
  <c r="K29" i="21"/>
  <c r="K27" i="21"/>
  <c r="G46" i="20"/>
  <c r="G38" i="20"/>
  <c r="G39" i="20" s="1"/>
  <c r="H38" i="20"/>
  <c r="H39" i="20" s="1"/>
  <c r="I38" i="20"/>
  <c r="I39" i="20" s="1"/>
  <c r="F151" i="2"/>
  <c r="G149" i="2" l="1"/>
  <c r="H149" i="2" s="1"/>
  <c r="J46" i="20"/>
  <c r="J47" i="20"/>
  <c r="J48" i="20" s="1"/>
  <c r="I46" i="20"/>
  <c r="I47" i="20"/>
  <c r="I48" i="20" s="1"/>
  <c r="J38" i="20"/>
  <c r="J39" i="20" s="1"/>
  <c r="K36" i="20"/>
  <c r="K38" i="20" s="1"/>
  <c r="K39" i="20" s="1"/>
  <c r="B9" i="10"/>
  <c r="N6" i="20"/>
  <c r="N2" i="20" s="1"/>
  <c r="J12" i="17"/>
  <c r="B12" i="10"/>
  <c r="J10" i="17"/>
  <c r="B10" i="10"/>
  <c r="J14" i="17"/>
  <c r="B17" i="10"/>
  <c r="J16" i="17"/>
  <c r="B15" i="10"/>
  <c r="J11" i="17"/>
  <c r="B11" i="10"/>
  <c r="J7" i="17"/>
  <c r="B7" i="10"/>
  <c r="J6" i="17"/>
  <c r="B6" i="10"/>
  <c r="J8" i="17"/>
  <c r="B8" i="10"/>
  <c r="J17" i="17"/>
  <c r="B13" i="10"/>
  <c r="D54" i="10"/>
  <c r="I18" i="17"/>
  <c r="I49" i="17" s="1"/>
  <c r="I51" i="17" s="1"/>
  <c r="D33" i="13"/>
  <c r="L17" i="21"/>
  <c r="M17" i="21" s="1"/>
  <c r="K17" i="21"/>
  <c r="K45" i="20" l="1"/>
  <c r="L36" i="20"/>
  <c r="L38" i="20" s="1"/>
  <c r="L39" i="20" s="1"/>
  <c r="K46" i="20" l="1"/>
  <c r="K47" i="20"/>
  <c r="K48" i="20" s="1"/>
  <c r="L45" i="20"/>
  <c r="D34" i="13"/>
  <c r="L46" i="20" l="1"/>
  <c r="L47" i="20"/>
  <c r="L48" i="20" s="1"/>
  <c r="D7" i="16"/>
  <c r="F15" i="21" s="1"/>
  <c r="D31" i="13" l="1"/>
  <c r="D37" i="13" s="1"/>
  <c r="F25" i="21" s="1"/>
  <c r="D6" i="16" l="1"/>
  <c r="G15" i="21"/>
  <c r="H15" i="21"/>
  <c r="I15" i="21"/>
  <c r="J15" i="21"/>
  <c r="G151" i="2"/>
  <c r="L15" i="21" l="1"/>
  <c r="M15" i="21" s="1"/>
  <c r="K15" i="21"/>
  <c r="H151" i="2"/>
  <c r="D10" i="16" l="1"/>
  <c r="D40" i="13"/>
  <c r="D11" i="16" l="1"/>
  <c r="F21" i="21"/>
  <c r="B18" i="10"/>
  <c r="B52" i="10" s="1"/>
  <c r="B54" i="10" s="1"/>
  <c r="B63" i="10" s="1"/>
  <c r="H21" i="21" l="1"/>
  <c r="J21" i="21"/>
  <c r="I21" i="21"/>
  <c r="G21" i="21"/>
  <c r="H13" i="21"/>
  <c r="K13" i="21" s="1"/>
  <c r="J13" i="21"/>
  <c r="F23" i="21"/>
  <c r="G13" i="21"/>
  <c r="I13" i="21"/>
  <c r="K21" i="21" l="1"/>
  <c r="L21" i="21"/>
  <c r="M21" i="21" s="1"/>
  <c r="L13" i="21"/>
  <c r="M13" i="21" s="1"/>
</calcChain>
</file>

<file path=xl/sharedStrings.xml><?xml version="1.0" encoding="utf-8"?>
<sst xmlns="http://schemas.openxmlformats.org/spreadsheetml/2006/main" count="848" uniqueCount="485">
  <si>
    <t>Date</t>
  </si>
  <si>
    <t>Invoice No.</t>
  </si>
  <si>
    <t>Gross</t>
  </si>
  <si>
    <t>VAT</t>
  </si>
  <si>
    <t>Net</t>
  </si>
  <si>
    <t>Precept</t>
  </si>
  <si>
    <t>Invoice</t>
  </si>
  <si>
    <t>Year End Totals</t>
  </si>
  <si>
    <t>PAYMENTS</t>
  </si>
  <si>
    <t>Supplier</t>
  </si>
  <si>
    <t>Description</t>
  </si>
  <si>
    <t>Clerk Salary</t>
  </si>
  <si>
    <t>Subscriptions</t>
  </si>
  <si>
    <t>Insurance</t>
  </si>
  <si>
    <t>Less: Unpresented</t>
  </si>
  <si>
    <t>Payments</t>
  </si>
  <si>
    <t>Cashbook</t>
  </si>
  <si>
    <t>Budget</t>
  </si>
  <si>
    <t>Income</t>
  </si>
  <si>
    <t>Total</t>
  </si>
  <si>
    <t xml:space="preserve">Expenditure </t>
  </si>
  <si>
    <t>Expenditure</t>
  </si>
  <si>
    <t>Balance c/f</t>
  </si>
  <si>
    <t>Represented by</t>
  </si>
  <si>
    <t>Current Account</t>
  </si>
  <si>
    <t>Unpresented Cheques</t>
  </si>
  <si>
    <t>Difference</t>
  </si>
  <si>
    <t>Year Ending</t>
  </si>
  <si>
    <t>£</t>
  </si>
  <si>
    <t>Balances Bfwd</t>
  </si>
  <si>
    <t>+ Annual Precept</t>
  </si>
  <si>
    <t>+ Total Other Receipts</t>
  </si>
  <si>
    <t>- Staff Costs</t>
  </si>
  <si>
    <t>- Loan Interest/Capital Repayments</t>
  </si>
  <si>
    <t>- All Other Payments</t>
  </si>
  <si>
    <t>= Balances Carried forward</t>
  </si>
  <si>
    <t>Total Cash &amp; Short Term Investments</t>
  </si>
  <si>
    <t>Total Fixed Assets plus other long term investments and assets</t>
  </si>
  <si>
    <t>Total Borrowings</t>
  </si>
  <si>
    <t>Barclays Current Account</t>
  </si>
  <si>
    <t>Prepared by: Charlotte Rust, Responsible Financial Officer</t>
  </si>
  <si>
    <t>Payroll</t>
  </si>
  <si>
    <t>RECEIPTS/ SPEND TO</t>
  </si>
  <si>
    <t>INCOME AND EXPENDITURE</t>
  </si>
  <si>
    <t>BUDGET YEAR END</t>
  </si>
  <si>
    <t xml:space="preserve">    £</t>
  </si>
  <si>
    <t>INCOME</t>
  </si>
  <si>
    <t>EXPLANATORY NOTES</t>
  </si>
  <si>
    <t>TOTAL INCOME</t>
  </si>
  <si>
    <t>EXPENDITURE</t>
  </si>
  <si>
    <t>Internal Audit</t>
  </si>
  <si>
    <t>External Audit</t>
  </si>
  <si>
    <t>Section 137</t>
  </si>
  <si>
    <t>TOTAL EXPENDITURE</t>
  </si>
  <si>
    <t>Total Income</t>
  </si>
  <si>
    <t>TOTAL INCOME SO FAR→</t>
  </si>
  <si>
    <t>Total Expenditure</t>
  </si>
  <si>
    <r>
      <t>BUDGET SPENT SO FAR</t>
    </r>
    <r>
      <rPr>
        <sz val="12"/>
        <color indexed="8"/>
        <rFont val="Calibri"/>
        <family val="2"/>
      </rPr>
      <t>→</t>
    </r>
  </si>
  <si>
    <r>
      <t>IN-YEAR SURPLUS/</t>
    </r>
    <r>
      <rPr>
        <b/>
        <sz val="12"/>
        <color indexed="10"/>
        <rFont val="Calibri"/>
        <family val="2"/>
      </rPr>
      <t>DEFICIT</t>
    </r>
  </si>
  <si>
    <r>
      <t>BUDGET REMAINING</t>
    </r>
    <r>
      <rPr>
        <sz val="12"/>
        <color indexed="8"/>
        <rFont val="Calibri"/>
        <family val="2"/>
      </rPr>
      <t>→</t>
    </r>
  </si>
  <si>
    <t>BANK BALANCE AT</t>
  </si>
  <si>
    <t>Uncleared cheque payments</t>
  </si>
  <si>
    <t>Less unpresented cheques</t>
  </si>
  <si>
    <t>Uncleared cheque receipts</t>
  </si>
  <si>
    <t>Plus undeposited receipts</t>
  </si>
  <si>
    <t>End of Year Reserve</t>
  </si>
  <si>
    <t>Balance</t>
  </si>
  <si>
    <t>GRANTS AND DONATIONS MADE</t>
  </si>
  <si>
    <t>2023-24</t>
  </si>
  <si>
    <t>TOTAL GRANTS</t>
  </si>
  <si>
    <t>King's Coronation Grant</t>
  </si>
  <si>
    <t>VAT Claim</t>
  </si>
  <si>
    <t>2023/24</t>
  </si>
  <si>
    <t>Hall Hire</t>
  </si>
  <si>
    <t>April Precept</t>
  </si>
  <si>
    <t>April Salary &amp; WFH</t>
  </si>
  <si>
    <t>HMRC</t>
  </si>
  <si>
    <t>R6</t>
  </si>
  <si>
    <t>P1</t>
  </si>
  <si>
    <t>P2</t>
  </si>
  <si>
    <t>P3</t>
  </si>
  <si>
    <t>P9</t>
  </si>
  <si>
    <t>May Expenses</t>
  </si>
  <si>
    <t>Barclays</t>
  </si>
  <si>
    <t>Misc</t>
  </si>
  <si>
    <t>June Expenses</t>
  </si>
  <si>
    <t>NCC</t>
  </si>
  <si>
    <t>July Salary &amp; WFH</t>
  </si>
  <si>
    <t>August Salary &amp; WFH</t>
  </si>
  <si>
    <t>Bank Balance</t>
  </si>
  <si>
    <t>Cash Flow</t>
  </si>
  <si>
    <t>SUB-TOTAL</t>
  </si>
  <si>
    <t>PC Assets</t>
  </si>
  <si>
    <t>Unexpected costs</t>
  </si>
  <si>
    <t>TOTAL</t>
  </si>
  <si>
    <t>Working Balance</t>
  </si>
  <si>
    <t>Contingency</t>
  </si>
  <si>
    <t>Ear Marked</t>
  </si>
  <si>
    <t>Remaining balance</t>
  </si>
  <si>
    <t>Use of funds</t>
  </si>
  <si>
    <t xml:space="preserve">Amount </t>
  </si>
  <si>
    <t>Payment ref</t>
  </si>
  <si>
    <t>+/- 
Budget compared to Previous Year</t>
  </si>
  <si>
    <t>Take From Reserves</t>
  </si>
  <si>
    <t>Notes</t>
  </si>
  <si>
    <t>TOTAL PAYMENTS</t>
  </si>
  <si>
    <t>TOTAL RECEIPTS</t>
  </si>
  <si>
    <t>Actual TOTAL</t>
  </si>
  <si>
    <t>PRECEPT REQUIRED</t>
  </si>
  <si>
    <t>NOTES:</t>
  </si>
  <si>
    <t>RESERVES</t>
  </si>
  <si>
    <t>Total Payments</t>
  </si>
  <si>
    <t>Ear Marked Reserves</t>
  </si>
  <si>
    <t>Total Receipts (excluding Precept)</t>
  </si>
  <si>
    <t>Taken from Reserves</t>
  </si>
  <si>
    <t>TOTAL PRECEPT REQUIRED</t>
  </si>
  <si>
    <t>£ Increase/Decrease</t>
  </si>
  <si>
    <t>General Reserve</t>
  </si>
  <si>
    <t>% Increase/Decrease</t>
  </si>
  <si>
    <t>BAND D CHARGE ON COUNCIL TAX BILL</t>
  </si>
  <si>
    <t>Tax Base</t>
  </si>
  <si>
    <t>Band D Charge</t>
  </si>
  <si>
    <t>Actual % Increase/Decrease</t>
  </si>
  <si>
    <t xml:space="preserve">Balance per bank statements as at </t>
  </si>
  <si>
    <t xml:space="preserve">Net balances at </t>
  </si>
  <si>
    <t>Grants</t>
  </si>
  <si>
    <t>Clean Up and Bloom</t>
  </si>
  <si>
    <t>2405</t>
  </si>
  <si>
    <t>2404</t>
  </si>
  <si>
    <t>BOX 10 VARIANCE EXPLANATION NOT REQUIRED IF CHANGE CAN BE EXPLAINED BY BOX 5 (CAPITAL PLUS INTEREST PAYMENT)</t>
  </si>
  <si>
    <t>Variances of £200 or less are tolerable</t>
  </si>
  <si>
    <t>Rounding errors of up to £2 are tolerable</t>
  </si>
  <si>
    <t>10 Total Borrowings</t>
  </si>
  <si>
    <t>9 Total Fixed Assets plus Other Long Term Investments and Assets</t>
  </si>
  <si>
    <t>VARIANCE EXPLANATION NOT REQUIRED</t>
  </si>
  <si>
    <t>8 Total Cash and Short Term Investments</t>
  </si>
  <si>
    <t>7 Balances Carried Forward</t>
  </si>
  <si>
    <t>6 All Other Payments</t>
  </si>
  <si>
    <t>5 Loan Interest/Capital Repayment</t>
  </si>
  <si>
    <t>4 Staff Costs</t>
  </si>
  <si>
    <t>3 Total Other Receipts</t>
  </si>
  <si>
    <t>2 Precept or Rates and Levies</t>
  </si>
  <si>
    <t>1 Balances Brought Forward</t>
  </si>
  <si>
    <t>%</t>
  </si>
  <si>
    <r>
      <t xml:space="preserve">Explanation from smaller authority </t>
    </r>
    <r>
      <rPr>
        <b/>
        <u/>
        <sz val="11"/>
        <color indexed="8"/>
        <rFont val="Arial"/>
        <family val="2"/>
      </rPr>
      <t>(must include narrative and supporting figures)</t>
    </r>
  </si>
  <si>
    <r>
      <t xml:space="preserve">Automatic responses trigger below based on figures input, </t>
    </r>
    <r>
      <rPr>
        <b/>
        <sz val="11"/>
        <color indexed="8"/>
        <rFont val="Arial"/>
        <family val="2"/>
      </rPr>
      <t>DO NOT OVERWRITE THESE BOXES</t>
    </r>
  </si>
  <si>
    <t>Explanation Required?</t>
  </si>
  <si>
    <t>Variance</t>
  </si>
  <si>
    <r>
      <t xml:space="preserve">Next, please provide full explanations, including numerical values, for the following that will be flagged in the green boxes where relevant:
</t>
    </r>
    <r>
      <rPr>
        <sz val="10"/>
        <color indexed="8"/>
        <rFont val="Arial"/>
        <family val="2"/>
      </rPr>
      <t xml:space="preserve">• variances of more than 15% between totals for individual boxes (except variances of less than £200); 
• </t>
    </r>
    <r>
      <rPr>
        <b/>
        <sz val="10"/>
        <color indexed="10"/>
        <rFont val="Arial"/>
        <family val="2"/>
      </rPr>
      <t>New from 2020/21 onwards:</t>
    </r>
    <r>
      <rPr>
        <sz val="10"/>
        <color indexed="8"/>
        <rFont val="Arial"/>
        <family val="2"/>
      </rPr>
      <t xml:space="preserve"> variances of £100,000 or more require explanation regardless of the % variation year on year;
</t>
    </r>
  </si>
  <si>
    <r>
      <t xml:space="preserve">Insert figures from Section 2 of the AGAR in all </t>
    </r>
    <r>
      <rPr>
        <b/>
        <u/>
        <sz val="10"/>
        <color indexed="62"/>
        <rFont val="Arial"/>
        <family val="2"/>
      </rPr>
      <t>Blue</t>
    </r>
    <r>
      <rPr>
        <b/>
        <sz val="10"/>
        <color indexed="10"/>
        <rFont val="Arial"/>
        <family val="2"/>
      </rPr>
      <t xml:space="preserve"> highlighted boxes </t>
    </r>
  </si>
  <si>
    <r>
      <t>County area (local councils and parish meetings only):</t>
    </r>
    <r>
      <rPr>
        <b/>
        <sz val="8"/>
        <color indexed="8"/>
        <rFont val="Arial"/>
        <family val="2"/>
      </rPr>
      <t xml:space="preserve"> </t>
    </r>
  </si>
  <si>
    <t xml:space="preserve">Name of smaller authority: </t>
  </si>
  <si>
    <t xml:space="preserve">Explanation of variances – pro forma </t>
  </si>
  <si>
    <t>Receipts</t>
  </si>
  <si>
    <t>BALANCE TOTAL</t>
  </si>
  <si>
    <t>TRANSFER</t>
  </si>
  <si>
    <t>Transfers</t>
  </si>
  <si>
    <t>Add: Bank Account Receipts</t>
  </si>
  <si>
    <t>Add: Reserves Receipts</t>
  </si>
  <si>
    <t>Less: Bank Account Payments</t>
  </si>
  <si>
    <t>ACTUAL
2023/24</t>
  </si>
  <si>
    <t>BUDGET 
2024/25</t>
  </si>
  <si>
    <t>YTD 2024/25
As At Month X</t>
  </si>
  <si>
    <t>Y/E
Forecast 2024/25</t>
  </si>
  <si>
    <t>BUDGET
2025/26</t>
  </si>
  <si>
    <t>Clerk Household Expense</t>
  </si>
  <si>
    <t>RWA Lease</t>
  </si>
  <si>
    <t>Clerk Travelling Expense</t>
  </si>
  <si>
    <t>Paper recycling</t>
  </si>
  <si>
    <t>Stationery</t>
  </si>
  <si>
    <t>Salvation Army</t>
  </si>
  <si>
    <t xml:space="preserve">Village Caretaker </t>
  </si>
  <si>
    <t>PCC Grass Cutting</t>
  </si>
  <si>
    <t>Village Caretaker expenses</t>
  </si>
  <si>
    <t>SLCC Bursary Funds</t>
  </si>
  <si>
    <t>HMRC (PAYE)</t>
  </si>
  <si>
    <t>Training</t>
  </si>
  <si>
    <t>Elections</t>
  </si>
  <si>
    <t>IT</t>
  </si>
  <si>
    <t>Car Park Lease</t>
  </si>
  <si>
    <t>October 2025 lease expires</t>
  </si>
  <si>
    <t>GL Safety Inspection</t>
  </si>
  <si>
    <t>Equipment and Maintenance</t>
  </si>
  <si>
    <t>Community Grants</t>
  </si>
  <si>
    <t>Cllrs Travelling Expenses</t>
  </si>
  <si>
    <t>Dog bins</t>
  </si>
  <si>
    <t>Defibrillator</t>
  </si>
  <si>
    <t>New pads July 2024 - PO and New Inn Hill</t>
  </si>
  <si>
    <t>Bird Hide Purchase</t>
  </si>
  <si>
    <t>Actual 2023/24</t>
  </si>
  <si>
    <t xml:space="preserve">
Actual
2024/25</t>
  </si>
  <si>
    <t xml:space="preserve">
Budget
2025/26</t>
  </si>
  <si>
    <t>Impact on Tax per £1000 per tax base</t>
  </si>
  <si>
    <t>Bird Hide</t>
  </si>
  <si>
    <t>Elections, Play equipment</t>
  </si>
  <si>
    <t>ROCKLAND ST MARY WITH HELLINGTON PARISH COUNCIL ANNUAL RETURN 2024/25</t>
  </si>
  <si>
    <t>2024/25</t>
  </si>
  <si>
    <t>RSMwH Parish Council</t>
  </si>
  <si>
    <t>Accounts for year ending 31st March 2024</t>
  </si>
  <si>
    <t>Transfer from Reserves</t>
  </si>
  <si>
    <t>Payments from Reserves</t>
  </si>
  <si>
    <t>Rockland St Mary with Hellington Parish Council</t>
  </si>
  <si>
    <t>Bank Reconciliation - General Account</t>
  </si>
  <si>
    <t>Financial year ending 31 March 2025</t>
  </si>
  <si>
    <t>Reserves</t>
  </si>
  <si>
    <t>Opening balance at 1 April 2024 - General Account</t>
  </si>
  <si>
    <t>Opening balance at 1 April 2024 - Bird Hide</t>
  </si>
  <si>
    <t>Opening balance at 1 April 2024 - Reserves</t>
  </si>
  <si>
    <t>Closing Balance</t>
  </si>
  <si>
    <t>Substation Lease</t>
  </si>
  <si>
    <t>02.04.2024</t>
  </si>
  <si>
    <t>Woodland Trust</t>
  </si>
  <si>
    <t>Tree protectors</t>
  </si>
  <si>
    <t>04.04.2024</t>
  </si>
  <si>
    <t>Homestead Nurseries</t>
  </si>
  <si>
    <t>Trees</t>
  </si>
  <si>
    <t>Baileys of Norfolk</t>
  </si>
  <si>
    <t>Compost and Woodchip</t>
  </si>
  <si>
    <t>March</t>
  </si>
  <si>
    <t>March Invoice</t>
  </si>
  <si>
    <t>Subscription 24/25</t>
  </si>
  <si>
    <t>PAYE 31.03.24</t>
  </si>
  <si>
    <t>Website hosting</t>
  </si>
  <si>
    <t>April</t>
  </si>
  <si>
    <t>April's expenses</t>
  </si>
  <si>
    <t>24.04.2024</t>
  </si>
  <si>
    <t>29.04.2024</t>
  </si>
  <si>
    <t>07.05.2024</t>
  </si>
  <si>
    <t>Simons Landscaping</t>
  </si>
  <si>
    <t>Carpark Full payment</t>
  </si>
  <si>
    <t>April Invoice</t>
  </si>
  <si>
    <t>May</t>
  </si>
  <si>
    <t>Surlingham PC</t>
  </si>
  <si>
    <t>SLCC Membership</t>
  </si>
  <si>
    <t>LCO01855</t>
  </si>
  <si>
    <t>Clear Councils</t>
  </si>
  <si>
    <t>Insurance 24/25</t>
  </si>
  <si>
    <t>28.05.2024</t>
  </si>
  <si>
    <t>May Salary &amp; WFH</t>
  </si>
  <si>
    <t>10.06.2024</t>
  </si>
  <si>
    <t>10.23-09.24</t>
  </si>
  <si>
    <t>Poor's Charity</t>
  </si>
  <si>
    <t>Staithe Car Park Lease</t>
  </si>
  <si>
    <t>May Invoice</t>
  </si>
  <si>
    <t xml:space="preserve">June </t>
  </si>
  <si>
    <t>CiLCA Registration</t>
  </si>
  <si>
    <t>IAS/RSM00458</t>
  </si>
  <si>
    <t>Mr R Goreham</t>
  </si>
  <si>
    <t>Internal Audit 23/24</t>
  </si>
  <si>
    <t>RSM School</t>
  </si>
  <si>
    <t>Nest boxes</t>
  </si>
  <si>
    <t>14.06.2024</t>
  </si>
  <si>
    <t>Defib Shop</t>
  </si>
  <si>
    <t>Spare pads</t>
  </si>
  <si>
    <t>28.06.2024</t>
  </si>
  <si>
    <t>June Salary WFH</t>
  </si>
  <si>
    <t>04.07.2024</t>
  </si>
  <si>
    <t>June Invoice</t>
  </si>
  <si>
    <t>July Expenses</t>
  </si>
  <si>
    <t>Clerk networking (shared)</t>
  </si>
  <si>
    <t>05.07.2024</t>
  </si>
  <si>
    <t>Post Office</t>
  </si>
  <si>
    <t>Stamps</t>
  </si>
  <si>
    <t>29.07.2024</t>
  </si>
  <si>
    <t>July</t>
  </si>
  <si>
    <t>28.08.2024</t>
  </si>
  <si>
    <t>August</t>
  </si>
  <si>
    <t>C Rust</t>
  </si>
  <si>
    <t>PAYE</t>
  </si>
  <si>
    <t>26.04.2024</t>
  </si>
  <si>
    <t>337 kgs</t>
  </si>
  <si>
    <t>16.05.2024</t>
  </si>
  <si>
    <t>Sep 23-Mar24</t>
  </si>
  <si>
    <t xml:space="preserve">VAT </t>
  </si>
  <si>
    <t>652 kgs</t>
  </si>
  <si>
    <t>29.05.2024</t>
  </si>
  <si>
    <t>Busseys Claim</t>
  </si>
  <si>
    <t>Lease</t>
  </si>
  <si>
    <t>15.07.2024</t>
  </si>
  <si>
    <t>Apr-Jun24</t>
  </si>
  <si>
    <t>09.07.2024</t>
  </si>
  <si>
    <t>515 kgs</t>
  </si>
  <si>
    <t>229 kgs</t>
  </si>
  <si>
    <t>June</t>
  </si>
  <si>
    <t>01.08.2024</t>
  </si>
  <si>
    <t>Reserves Interest</t>
  </si>
  <si>
    <t>02.09.2024</t>
  </si>
  <si>
    <t>Bird Hide Interest</t>
  </si>
  <si>
    <t>Grass cutting 24/25</t>
  </si>
  <si>
    <t>29.08.2024</t>
  </si>
  <si>
    <t>Add: Bird Hide Receipts</t>
  </si>
  <si>
    <t>Less: Reserves Payments</t>
  </si>
  <si>
    <t>Less: Bird Hide Payments</t>
  </si>
  <si>
    <t>EAR MARKED RESERVES</t>
  </si>
  <si>
    <t>CASH FLOW MIN</t>
  </si>
  <si>
    <t>Staithe Car Park</t>
  </si>
  <si>
    <t>%AGE OF INCOME &amp; EXPENDITURE 2024/25</t>
  </si>
  <si>
    <t>(under contigency)</t>
  </si>
  <si>
    <t>2024-25</t>
  </si>
  <si>
    <t>School Grant</t>
  </si>
  <si>
    <t>PCC Grant</t>
  </si>
  <si>
    <t>01.05.2024</t>
  </si>
  <si>
    <t>Sweep</t>
  </si>
  <si>
    <t xml:space="preserve">Car park </t>
  </si>
  <si>
    <t xml:space="preserve">Car Park </t>
  </si>
  <si>
    <t>06.09.2024</t>
  </si>
  <si>
    <t>July/August Invoices</t>
  </si>
  <si>
    <t>September Expenses</t>
  </si>
  <si>
    <t>Roydons Trust</t>
  </si>
  <si>
    <t>Hall Hire April - July 24</t>
  </si>
  <si>
    <t>BWP Creative</t>
  </si>
  <si>
    <t>10.09.2024</t>
  </si>
  <si>
    <t>18.09.2024</t>
  </si>
  <si>
    <t>Microsoft</t>
  </si>
  <si>
    <t>365 subscription</t>
  </si>
  <si>
    <t>20.09.2024</t>
  </si>
  <si>
    <t>September Precept</t>
  </si>
  <si>
    <t>297 kgs</t>
  </si>
  <si>
    <t>30.09.2024</t>
  </si>
  <si>
    <t>September</t>
  </si>
  <si>
    <t>September Salary &amp; WFH</t>
  </si>
  <si>
    <t>September Studying</t>
  </si>
  <si>
    <t>597kgs</t>
  </si>
  <si>
    <t>Transfer In</t>
  </si>
  <si>
    <t>Transfers out</t>
  </si>
  <si>
    <t>03.10.2024</t>
  </si>
  <si>
    <t>Land Registry</t>
  </si>
  <si>
    <t>New Inn Pub CA application</t>
  </si>
  <si>
    <t>07.10.2024</t>
  </si>
  <si>
    <t>Claxton Parish Council</t>
  </si>
  <si>
    <t>Autumn Seminar</t>
  </si>
  <si>
    <t>Dog Bin</t>
  </si>
  <si>
    <t>CiLCA Qualification</t>
  </si>
  <si>
    <t xml:space="preserve">TRANSFER </t>
  </si>
  <si>
    <t>475PY001754412506</t>
  </si>
  <si>
    <t>September Invoice</t>
  </si>
  <si>
    <t xml:space="preserve"> PAYE - up to 5th October</t>
  </si>
  <si>
    <t>April Sweep, Sept sweep</t>
  </si>
  <si>
    <t>11.10.2024</t>
  </si>
  <si>
    <t>Safety Sign Warehouse</t>
  </si>
  <si>
    <t>Car park closed sign</t>
  </si>
  <si>
    <t>No CiLCA fees</t>
  </si>
  <si>
    <t>Website domain and support</t>
  </si>
  <si>
    <t>5958*8.9%/347.6</t>
  </si>
  <si>
    <t>28.10.2024</t>
  </si>
  <si>
    <t>October</t>
  </si>
  <si>
    <t>October Studying</t>
  </si>
  <si>
    <t>October Salary &amp; WFH</t>
  </si>
  <si>
    <t>29.10.2024</t>
  </si>
  <si>
    <t>490kgs</t>
  </si>
  <si>
    <t>Cost of year 25/26</t>
  </si>
  <si>
    <t>Per month</t>
  </si>
  <si>
    <t>Car park. Actual £605.48</t>
  </si>
  <si>
    <t>01.11.2024</t>
  </si>
  <si>
    <t>08.11.2024</t>
  </si>
  <si>
    <t>PAYE - up to 5th October</t>
  </si>
  <si>
    <t>October Invoice</t>
  </si>
  <si>
    <t>October Expenses</t>
  </si>
  <si>
    <t>National back pay</t>
  </si>
  <si>
    <t>Mr D Bracey</t>
  </si>
  <si>
    <t>Play Area inspection</t>
  </si>
  <si>
    <t>Mr D Ward</t>
  </si>
  <si>
    <t>Tree felling</t>
  </si>
  <si>
    <t xml:space="preserve">PAYE up to 5th November </t>
  </si>
  <si>
    <t>0019RSMParishC</t>
  </si>
  <si>
    <t>475PY001754412507</t>
  </si>
  <si>
    <t>Staithe Car Park (Reserves 2264.40)</t>
  </si>
  <si>
    <r>
      <t xml:space="preserve">£5,235 - Basic Salary
</t>
    </r>
    <r>
      <rPr>
        <sz val="11"/>
        <color rgb="FFFF0000"/>
        <rFont val="Calibri"/>
        <family val="2"/>
        <scheme val="minor"/>
      </rPr>
      <t>£240 - CiLCA studying</t>
    </r>
    <r>
      <rPr>
        <sz val="11"/>
        <rFont val="Calibri"/>
        <family val="2"/>
        <scheme val="minor"/>
      </rPr>
      <t xml:space="preserve">
£100 - National Pay Increase
£51.00 - Appraisal pay increase (7 months from Sept 25)
£64.00 - buffer</t>
    </r>
  </si>
  <si>
    <t>Budgeted for 24/25 and not used. Add to ear marked funds until needed than add to budget.</t>
  </si>
  <si>
    <t>NI contributions</t>
  </si>
  <si>
    <t>£180 - website hosting and email support
£112 - domain registeration (2 years)</t>
  </si>
  <si>
    <t>Differece bewteen payments and receipts is £14,947</t>
  </si>
  <si>
    <t>£1,853 - extra in precept</t>
  </si>
  <si>
    <t>13.11.2024</t>
  </si>
  <si>
    <t>15.11.2024</t>
  </si>
  <si>
    <t>GDPR membership</t>
  </si>
  <si>
    <t xml:space="preserve">£96 - Payroll
£235 - Norfolk ALC
£65 - SLCC membership (£195 total)
£67 - Microsoft 365
£35 - ICO </t>
  </si>
  <si>
    <t>25.11.2024</t>
  </si>
  <si>
    <t>Norfolk County Council</t>
  </si>
  <si>
    <t>Recycling Credit</t>
  </si>
  <si>
    <t>484kgs</t>
  </si>
  <si>
    <t>27.11.2024</t>
  </si>
  <si>
    <t>28.11.2024</t>
  </si>
  <si>
    <t>November studying</t>
  </si>
  <si>
    <t>November Salary &amp; WFH</t>
  </si>
  <si>
    <t>02.12.2024</t>
  </si>
  <si>
    <t>CiLCA course</t>
  </si>
  <si>
    <t>Hellington</t>
  </si>
  <si>
    <t xml:space="preserve">Tax Base </t>
  </si>
  <si>
    <t>RSM</t>
  </si>
  <si>
    <t>05.12.2024</t>
  </si>
  <si>
    <t>Groundhog</t>
  </si>
  <si>
    <t>Saftey tape for pond</t>
  </si>
  <si>
    <t>Westcotec</t>
  </si>
  <si>
    <t>SAM2 repairs</t>
  </si>
  <si>
    <t>Hall Hire to December 24</t>
  </si>
  <si>
    <t>November Invoice and Expenses</t>
  </si>
  <si>
    <t>December expenses</t>
  </si>
  <si>
    <t>PAYE to 5th Dec</t>
  </si>
  <si>
    <t>23.12.2024</t>
  </si>
  <si>
    <t>Amazon</t>
  </si>
  <si>
    <t>Printer paper</t>
  </si>
  <si>
    <t>30.12.2024</t>
  </si>
  <si>
    <t>December studying</t>
  </si>
  <si>
    <t>December salary &amp; WFH</t>
  </si>
  <si>
    <t>09.01.2025</t>
  </si>
  <si>
    <t>Regency Hamper</t>
  </si>
  <si>
    <t>Hamper for James Andrew</t>
  </si>
  <si>
    <t>December Invoice</t>
  </si>
  <si>
    <t>January Expenses</t>
  </si>
  <si>
    <t>TJHS Commercial Ltd</t>
  </si>
  <si>
    <t>Tree Felling</t>
  </si>
  <si>
    <t>Norse Eastern Ltd</t>
  </si>
  <si>
    <t>Silt Testing</t>
  </si>
  <si>
    <t>Warm Room</t>
  </si>
  <si>
    <t>PAYE to 5th Jan</t>
  </si>
  <si>
    <t>ROC010</t>
  </si>
  <si>
    <t>R29</t>
  </si>
  <si>
    <t>17.01.2025</t>
  </si>
  <si>
    <t>P72 and P73</t>
  </si>
  <si>
    <t>November</t>
  </si>
  <si>
    <t>538kgs</t>
  </si>
  <si>
    <t>22.01.2025</t>
  </si>
  <si>
    <t>VAT Claim July - Dec</t>
  </si>
  <si>
    <t>28.01.2025</t>
  </si>
  <si>
    <t>January Studying</t>
  </si>
  <si>
    <t>January Salary &amp; WFH</t>
  </si>
  <si>
    <t>31.01.2025</t>
  </si>
  <si>
    <t>328kgs</t>
  </si>
  <si>
    <t>Staithe Car Park
Tree Felling @ BHD
Tree work @BHD
Silt Testing</t>
  </si>
  <si>
    <t>P11
P55
P72
P73</t>
  </si>
  <si>
    <t>R33</t>
  </si>
  <si>
    <t>06.02.2025</t>
  </si>
  <si>
    <t>January Invoice</t>
  </si>
  <si>
    <t>February expenses</t>
  </si>
  <si>
    <t>February study</t>
  </si>
  <si>
    <t>P82</t>
  </si>
  <si>
    <t>J M Davison</t>
  </si>
  <si>
    <t>Orchard Sign</t>
  </si>
  <si>
    <t>C. B. Arnold</t>
  </si>
  <si>
    <t>Digger Hire</t>
  </si>
  <si>
    <t>Smarts Load and Go</t>
  </si>
  <si>
    <t>Waste disposal - Pond</t>
  </si>
  <si>
    <t>PAYE to 5th Feb</t>
  </si>
  <si>
    <t>10.02.2025</t>
  </si>
  <si>
    <t>John Service</t>
  </si>
  <si>
    <t>Pond Dredging</t>
  </si>
  <si>
    <t>DHS Landscaping</t>
  </si>
  <si>
    <t>Pond platform</t>
  </si>
  <si>
    <t>P82-P84, P87-P88</t>
  </si>
  <si>
    <t>BW014</t>
  </si>
  <si>
    <t>PCC Warm room</t>
  </si>
  <si>
    <t>R34</t>
  </si>
  <si>
    <t>21.02.2025</t>
  </si>
  <si>
    <t>PiP Grant</t>
  </si>
  <si>
    <t>P89</t>
  </si>
  <si>
    <t>26.02.2025</t>
  </si>
  <si>
    <t>28.02.2025</t>
  </si>
  <si>
    <t>February Salary &amp; WFH</t>
  </si>
  <si>
    <t>03.03.2025</t>
  </si>
  <si>
    <t>05.03.2025</t>
  </si>
  <si>
    <t>VAT Claim Jan and Feb</t>
  </si>
  <si>
    <t>368kgs</t>
  </si>
  <si>
    <t>10.03.2025</t>
  </si>
  <si>
    <t>PAYE to 5th March</t>
  </si>
  <si>
    <t>11.03.2025</t>
  </si>
  <si>
    <t>February Invoice</t>
  </si>
  <si>
    <t>March expenses</t>
  </si>
  <si>
    <t>28.03.2025</t>
  </si>
  <si>
    <t>March Study</t>
  </si>
  <si>
    <t>March Salary &amp; WFH</t>
  </si>
  <si>
    <t xml:space="preserve">£5,898.84 grants received for Community Orchard (Busseys) and Restoration of Blackhorse Dyke Pond (Pride in Place)
</t>
  </si>
  <si>
    <t>£104.87 increase to insurance
£2,264.00 maintenance repairs to Staithe Car Park
£5,898.84 of Grant spending
£1,213.00 - SAM2 repairs</t>
  </si>
  <si>
    <t>281kgs</t>
  </si>
  <si>
    <t>Clerk</t>
  </si>
  <si>
    <t>Caretaker</t>
  </si>
  <si>
    <t>South Norfolk District Council</t>
  </si>
  <si>
    <t xml:space="preserve">South Norfolk District Council </t>
  </si>
  <si>
    <t>Councillor Rogers</t>
  </si>
  <si>
    <t>Rockland Wildfowlers Assocation</t>
  </si>
  <si>
    <t>Norfolk Association of Local Councils</t>
  </si>
  <si>
    <t>Information Commissioner Office</t>
  </si>
  <si>
    <t>Parochial Church Council</t>
  </si>
  <si>
    <t>Interest Reserves</t>
  </si>
  <si>
    <t>Interest Bird Hide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</si>
</sst>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£&quot;#,##0.00;\-&quot;£&quot;#,##0.00"/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.00"/>
    <numFmt numFmtId="165" formatCode="_-* #,##0_-;\-* #,##0_-;_-* &quot;-&quot;??_-;_-@_-"/>
    <numFmt numFmtId="166" formatCode="dd/mm/yyyy;@"/>
    <numFmt numFmtId="167" formatCode="0_ ;[Red]\-0\ "/>
  </numFmts>
  <fonts count="6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i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sz val="14"/>
      <color theme="0" tint="-0.499984740745262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2"/>
      <name val="Arial"/>
      <family val="2"/>
    </font>
    <font>
      <sz val="12"/>
      <name val="Calibri"/>
      <family val="2"/>
      <scheme val="minor"/>
    </font>
    <font>
      <sz val="11"/>
      <color rgb="FF006100"/>
      <name val="Calibri"/>
      <family val="2"/>
      <scheme val="minor"/>
    </font>
    <font>
      <b/>
      <u/>
      <sz val="18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2"/>
      <color rgb="FF006100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2"/>
      <color indexed="8"/>
      <name val="Calibri"/>
      <family val="2"/>
    </font>
    <font>
      <b/>
      <sz val="12"/>
      <color indexed="10"/>
      <name val="Calibri"/>
      <family val="2"/>
    </font>
    <font>
      <b/>
      <sz val="12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b/>
      <u/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theme="1"/>
      <name val="Symbol"/>
      <family val="1"/>
      <charset val="2"/>
    </font>
    <font>
      <b/>
      <sz val="10"/>
      <color theme="1"/>
      <name val="Arial"/>
      <family val="2"/>
    </font>
    <font>
      <b/>
      <sz val="10"/>
      <color indexed="10"/>
      <name val="Arial"/>
      <family val="2"/>
    </font>
    <font>
      <b/>
      <u/>
      <sz val="10"/>
      <color indexed="62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  <font>
      <u/>
      <sz val="12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 diagonalUp="1">
      <left/>
      <right/>
      <top/>
      <bottom/>
      <diagonal style="thin">
        <color theme="0" tint="-0.14996795556505021"/>
      </diagonal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B8CCE4"/>
      </left>
      <right style="thin">
        <color rgb="FFB8CCE4"/>
      </right>
      <top style="thin">
        <color theme="0"/>
      </top>
      <bottom style="thin">
        <color theme="4" tint="0.5999633777886288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 tint="0.79998168889431442"/>
      </bottom>
      <diagonal/>
    </border>
    <border>
      <left style="thin">
        <color rgb="FFB8CCE4"/>
      </left>
      <right style="thin">
        <color rgb="FFB8CCE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theme="0"/>
      </left>
      <right style="thin">
        <color theme="0"/>
      </right>
      <top style="thin">
        <color theme="5" tint="0.79998168889431442"/>
      </top>
      <bottom style="thin">
        <color theme="5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rgb="FFB8CCE4"/>
      </left>
      <right style="thin">
        <color rgb="FFB8CCE4"/>
      </right>
      <top style="thin">
        <color theme="4" tint="0.59996337778862885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5" tint="0.79998168889431442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rgb="FFB8CCE4"/>
      </left>
      <right style="thin">
        <color rgb="FFB8CCE4"/>
      </right>
      <top style="thin">
        <color indexed="64"/>
      </top>
      <bottom style="thin">
        <color theme="4" tint="0.59996337778862885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rgb="FFB8CCE4"/>
      </left>
      <right style="thin">
        <color rgb="FFB8CCE4"/>
      </right>
      <top/>
      <bottom/>
      <diagonal/>
    </border>
    <border>
      <left style="thin">
        <color rgb="FFB8CCE4"/>
      </left>
      <right style="thin">
        <color rgb="FFB8CCE4"/>
      </right>
      <top/>
      <bottom style="thin">
        <color theme="4" tint="0.59996337778862885"/>
      </bottom>
      <diagonal/>
    </border>
    <border>
      <left style="thin">
        <color rgb="FFB8CCE4"/>
      </left>
      <right style="thin">
        <color rgb="FFB8CCE4"/>
      </right>
      <top/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5" tint="0.7999816888943144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rgb="FFC6EFCE"/>
      </bottom>
      <diagonal/>
    </border>
    <border>
      <left style="thin">
        <color indexed="64"/>
      </left>
      <right/>
      <top style="thin">
        <color rgb="FFC6EFCE"/>
      </top>
      <bottom style="thin">
        <color rgb="FFC6EFCE"/>
      </bottom>
      <diagonal/>
    </border>
    <border>
      <left style="thin">
        <color indexed="64"/>
      </left>
      <right/>
      <top style="thin">
        <color rgb="FFC6EFCE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C6EFCE"/>
      </bottom>
      <diagonal/>
    </border>
    <border>
      <left style="thin">
        <color indexed="64"/>
      </left>
      <right/>
      <top/>
      <bottom style="thin">
        <color rgb="FFC6EFCE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/>
      <bottom style="thin">
        <color theme="5" tint="0.79998168889431442"/>
      </bottom>
      <diagonal/>
    </border>
    <border>
      <left style="thin">
        <color rgb="FFB8CCE4"/>
      </left>
      <right style="thin">
        <color rgb="FFB8CCE4"/>
      </right>
      <top style="thin">
        <color theme="4" tint="0.59996337778862885"/>
      </top>
      <bottom/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12" fillId="0" borderId="0"/>
    <xf numFmtId="0" fontId="1" fillId="0" borderId="0"/>
    <xf numFmtId="9" fontId="2" fillId="0" borderId="0" applyFont="0" applyFill="0" applyBorder="0" applyAlignment="0" applyProtection="0"/>
    <xf numFmtId="0" fontId="27" fillId="4" borderId="0" applyNumberFormat="0" applyBorder="0" applyAlignment="0" applyProtection="0"/>
    <xf numFmtId="0" fontId="36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405">
    <xf numFmtId="0" fontId="0" fillId="0" borderId="0" xfId="0"/>
    <xf numFmtId="0" fontId="0" fillId="0" borderId="1" xfId="0" applyBorder="1"/>
    <xf numFmtId="0" fontId="14" fillId="2" borderId="0" xfId="3" applyNumberFormat="1" applyFont="1" applyFill="1" applyBorder="1" applyAlignment="1">
      <alignment horizontal="center"/>
    </xf>
    <xf numFmtId="44" fontId="14" fillId="2" borderId="0" xfId="3" applyFont="1" applyFill="1" applyBorder="1" applyAlignment="1">
      <alignment horizontal="right"/>
    </xf>
    <xf numFmtId="44" fontId="15" fillId="2" borderId="0" xfId="3" applyFont="1" applyFill="1" applyBorder="1" applyAlignment="1">
      <alignment horizontal="left"/>
    </xf>
    <xf numFmtId="44" fontId="14" fillId="2" borderId="2" xfId="3" applyFont="1" applyFill="1" applyBorder="1" applyAlignment="1">
      <alignment horizontal="left"/>
    </xf>
    <xf numFmtId="0" fontId="15" fillId="2" borderId="0" xfId="4" applyFont="1" applyFill="1" applyAlignment="1">
      <alignment horizontal="left"/>
    </xf>
    <xf numFmtId="4" fontId="14" fillId="2" borderId="0" xfId="4" applyNumberFormat="1" applyFont="1" applyFill="1" applyAlignment="1">
      <alignment horizontal="left"/>
    </xf>
    <xf numFmtId="0" fontId="8" fillId="2" borderId="0" xfId="4" applyFont="1" applyFill="1"/>
    <xf numFmtId="0" fontId="14" fillId="2" borderId="0" xfId="4" applyFont="1" applyFill="1" applyAlignment="1">
      <alignment horizontal="left"/>
    </xf>
    <xf numFmtId="0" fontId="14" fillId="2" borderId="0" xfId="4" applyFont="1" applyFill="1" applyAlignment="1">
      <alignment horizontal="left" wrapText="1"/>
    </xf>
    <xf numFmtId="4" fontId="15" fillId="2" borderId="0" xfId="4" applyNumberFormat="1" applyFont="1" applyFill="1" applyAlignment="1">
      <alignment horizontal="left"/>
    </xf>
    <xf numFmtId="0" fontId="7" fillId="2" borderId="0" xfId="4" applyFill="1"/>
    <xf numFmtId="0" fontId="15" fillId="2" borderId="0" xfId="4" applyFont="1" applyFill="1" applyAlignment="1">
      <alignment horizontal="left" wrapText="1"/>
    </xf>
    <xf numFmtId="4" fontId="14" fillId="2" borderId="0" xfId="4" applyNumberFormat="1" applyFont="1" applyFill="1" applyAlignment="1">
      <alignment horizontal="left" wrapText="1"/>
    </xf>
    <xf numFmtId="0" fontId="11" fillId="0" borderId="0" xfId="6" applyFont="1" applyAlignment="1">
      <alignment vertical="top"/>
    </xf>
    <xf numFmtId="49" fontId="11" fillId="0" borderId="0" xfId="6" applyNumberFormat="1" applyFont="1" applyAlignment="1">
      <alignment wrapText="1"/>
    </xf>
    <xf numFmtId="166" fontId="10" fillId="0" borderId="0" xfId="6" applyNumberFormat="1" applyFont="1" applyAlignment="1">
      <alignment horizontal="center" wrapText="1"/>
    </xf>
    <xf numFmtId="0" fontId="11" fillId="0" borderId="4" xfId="6" applyFont="1" applyBorder="1" applyAlignment="1">
      <alignment vertical="top"/>
    </xf>
    <xf numFmtId="49" fontId="11" fillId="0" borderId="4" xfId="6" applyNumberFormat="1" applyFont="1" applyBorder="1" applyAlignment="1">
      <alignment wrapText="1"/>
    </xf>
    <xf numFmtId="14" fontId="10" fillId="0" borderId="4" xfId="6" applyNumberFormat="1" applyFont="1" applyBorder="1" applyAlignment="1">
      <alignment horizontal="center"/>
    </xf>
    <xf numFmtId="4" fontId="10" fillId="0" borderId="4" xfId="6" applyNumberFormat="1" applyFont="1" applyBorder="1" applyAlignment="1">
      <alignment horizontal="center"/>
    </xf>
    <xf numFmtId="0" fontId="11" fillId="0" borderId="5" xfId="6" applyFont="1" applyBorder="1" applyAlignment="1">
      <alignment vertical="top"/>
    </xf>
    <xf numFmtId="49" fontId="11" fillId="0" borderId="5" xfId="6" applyNumberFormat="1" applyFont="1" applyBorder="1" applyAlignment="1">
      <alignment wrapText="1"/>
    </xf>
    <xf numFmtId="0" fontId="12" fillId="0" borderId="0" xfId="5"/>
    <xf numFmtId="165" fontId="10" fillId="0" borderId="0" xfId="2" applyNumberFormat="1" applyFont="1"/>
    <xf numFmtId="4" fontId="10" fillId="0" borderId="0" xfId="2" applyNumberFormat="1" applyFont="1"/>
    <xf numFmtId="43" fontId="11" fillId="0" borderId="0" xfId="6" applyNumberFormat="1" applyFont="1"/>
    <xf numFmtId="164" fontId="16" fillId="0" borderId="0" xfId="4" applyNumberFormat="1" applyFont="1" applyAlignment="1">
      <alignment horizontal="center"/>
    </xf>
    <xf numFmtId="44" fontId="18" fillId="0" borderId="0" xfId="3" applyFont="1" applyFill="1" applyBorder="1" applyAlignment="1">
      <alignment horizontal="left"/>
    </xf>
    <xf numFmtId="0" fontId="14" fillId="2" borderId="0" xfId="4" applyFont="1" applyFill="1" applyAlignment="1">
      <alignment horizontal="center"/>
    </xf>
    <xf numFmtId="0" fontId="23" fillId="0" borderId="0" xfId="0" applyFont="1"/>
    <xf numFmtId="0" fontId="22" fillId="0" borderId="0" xfId="0" applyFont="1"/>
    <xf numFmtId="44" fontId="24" fillId="0" borderId="0" xfId="3" applyFont="1"/>
    <xf numFmtId="0" fontId="24" fillId="0" borderId="0" xfId="0" applyFont="1"/>
    <xf numFmtId="15" fontId="24" fillId="0" borderId="0" xfId="3" applyNumberFormat="1" applyFont="1" applyFill="1"/>
    <xf numFmtId="0" fontId="25" fillId="0" borderId="0" xfId="0" applyFont="1"/>
    <xf numFmtId="44" fontId="24" fillId="0" borderId="0" xfId="3" applyFont="1" applyFill="1"/>
    <xf numFmtId="44" fontId="24" fillId="0" borderId="3" xfId="3" applyFont="1" applyBorder="1"/>
    <xf numFmtId="164" fontId="24" fillId="0" borderId="0" xfId="0" applyNumberFormat="1" applyFont="1"/>
    <xf numFmtId="44" fontId="24" fillId="0" borderId="2" xfId="3" applyFont="1" applyBorder="1"/>
    <xf numFmtId="44" fontId="22" fillId="0" borderId="0" xfId="3" applyFont="1"/>
    <xf numFmtId="44" fontId="23" fillId="0" borderId="0" xfId="3" applyFont="1"/>
    <xf numFmtId="0" fontId="0" fillId="0" borderId="11" xfId="0" applyBorder="1"/>
    <xf numFmtId="0" fontId="23" fillId="0" borderId="7" xfId="0" applyFont="1" applyBorder="1" applyAlignment="1">
      <alignment wrapText="1"/>
    </xf>
    <xf numFmtId="0" fontId="26" fillId="0" borderId="11" xfId="0" applyFont="1" applyBorder="1" applyAlignment="1">
      <alignment wrapText="1"/>
    </xf>
    <xf numFmtId="0" fontId="23" fillId="0" borderId="11" xfId="0" applyFont="1" applyBorder="1" applyAlignment="1">
      <alignment wrapText="1"/>
    </xf>
    <xf numFmtId="0" fontId="23" fillId="6" borderId="12" xfId="0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right" wrapText="1"/>
    </xf>
    <xf numFmtId="0" fontId="29" fillId="0" borderId="11" xfId="0" applyFont="1" applyBorder="1" applyAlignment="1">
      <alignment wrapText="1"/>
    </xf>
    <xf numFmtId="4" fontId="26" fillId="7" borderId="13" xfId="8" applyNumberFormat="1" applyFont="1" applyFill="1" applyBorder="1" applyAlignment="1">
      <alignment horizontal="center" vertical="center" wrapText="1"/>
    </xf>
    <xf numFmtId="166" fontId="23" fillId="0" borderId="7" xfId="0" applyNumberFormat="1" applyFont="1" applyBorder="1"/>
    <xf numFmtId="166" fontId="23" fillId="0" borderId="11" xfId="0" applyNumberFormat="1" applyFont="1" applyBorder="1"/>
    <xf numFmtId="166" fontId="23" fillId="6" borderId="14" xfId="0" applyNumberFormat="1" applyFont="1" applyFill="1" applyBorder="1" applyAlignment="1">
      <alignment horizontal="center" vertical="center"/>
    </xf>
    <xf numFmtId="166" fontId="23" fillId="0" borderId="10" xfId="0" applyNumberFormat="1" applyFont="1" applyBorder="1" applyAlignment="1">
      <alignment horizontal="right"/>
    </xf>
    <xf numFmtId="166" fontId="26" fillId="7" borderId="15" xfId="8" applyNumberFormat="1" applyFont="1" applyFill="1" applyBorder="1" applyAlignment="1">
      <alignment horizontal="center" vertical="center"/>
    </xf>
    <xf numFmtId="0" fontId="23" fillId="0" borderId="16" xfId="0" applyFont="1" applyBorder="1" applyAlignment="1">
      <alignment wrapText="1"/>
    </xf>
    <xf numFmtId="0" fontId="23" fillId="0" borderId="17" xfId="0" applyFont="1" applyBorder="1"/>
    <xf numFmtId="0" fontId="23" fillId="0" borderId="17" xfId="0" applyFont="1" applyBorder="1" applyAlignment="1">
      <alignment wrapText="1"/>
    </xf>
    <xf numFmtId="0" fontId="23" fillId="6" borderId="18" xfId="0" applyFont="1" applyFill="1" applyBorder="1" applyAlignment="1">
      <alignment horizontal="center" wrapText="1"/>
    </xf>
    <xf numFmtId="0" fontId="23" fillId="0" borderId="19" xfId="0" applyFont="1" applyBorder="1" applyAlignment="1">
      <alignment horizontal="right" wrapText="1"/>
    </xf>
    <xf numFmtId="166" fontId="29" fillId="0" borderId="17" xfId="0" applyNumberFormat="1" applyFont="1" applyBorder="1"/>
    <xf numFmtId="4" fontId="26" fillId="7" borderId="20" xfId="8" applyNumberFormat="1" applyFont="1" applyFill="1" applyBorder="1" applyAlignment="1">
      <alignment horizontal="center" wrapText="1"/>
    </xf>
    <xf numFmtId="0" fontId="23" fillId="0" borderId="21" xfId="0" applyFont="1" applyBorder="1"/>
    <xf numFmtId="0" fontId="23" fillId="0" borderId="22" xfId="0" applyFont="1" applyBorder="1"/>
    <xf numFmtId="4" fontId="23" fillId="6" borderId="23" xfId="0" applyNumberFormat="1" applyFont="1" applyFill="1" applyBorder="1" applyAlignment="1">
      <alignment horizontal="right"/>
    </xf>
    <xf numFmtId="4" fontId="23" fillId="0" borderId="24" xfId="0" applyNumberFormat="1" applyFont="1" applyBorder="1" applyAlignment="1">
      <alignment horizontal="right"/>
    </xf>
    <xf numFmtId="0" fontId="29" fillId="0" borderId="22" xfId="0" applyFont="1" applyBorder="1"/>
    <xf numFmtId="0" fontId="23" fillId="0" borderId="7" xfId="0" applyFont="1" applyBorder="1"/>
    <xf numFmtId="0" fontId="23" fillId="0" borderId="11" xfId="0" applyFont="1" applyBorder="1"/>
    <xf numFmtId="4" fontId="23" fillId="6" borderId="14" xfId="0" applyNumberFormat="1" applyFont="1" applyFill="1" applyBorder="1" applyAlignment="1">
      <alignment horizontal="right"/>
    </xf>
    <xf numFmtId="4" fontId="23" fillId="0" borderId="10" xfId="0" applyNumberFormat="1" applyFont="1" applyBorder="1" applyAlignment="1">
      <alignment horizontal="right"/>
    </xf>
    <xf numFmtId="0" fontId="29" fillId="0" borderId="11" xfId="0" applyFont="1" applyBorder="1"/>
    <xf numFmtId="4" fontId="26" fillId="7" borderId="15" xfId="8" applyNumberFormat="1" applyFont="1" applyFill="1" applyBorder="1" applyAlignment="1">
      <alignment horizontal="right"/>
    </xf>
    <xf numFmtId="4" fontId="23" fillId="6" borderId="25" xfId="0" applyNumberFormat="1" applyFont="1" applyFill="1" applyBorder="1" applyAlignment="1">
      <alignment horizontal="right"/>
    </xf>
    <xf numFmtId="0" fontId="31" fillId="0" borderId="7" xfId="0" applyFont="1" applyBorder="1"/>
    <xf numFmtId="0" fontId="31" fillId="0" borderId="11" xfId="0" applyFont="1" applyBorder="1"/>
    <xf numFmtId="4" fontId="31" fillId="6" borderId="23" xfId="0" applyNumberFormat="1" applyFont="1" applyFill="1" applyBorder="1" applyAlignment="1">
      <alignment horizontal="right"/>
    </xf>
    <xf numFmtId="4" fontId="31" fillId="0" borderId="10" xfId="0" applyNumberFormat="1" applyFont="1" applyBorder="1" applyAlignment="1">
      <alignment horizontal="right"/>
    </xf>
    <xf numFmtId="0" fontId="32" fillId="0" borderId="11" xfId="0" applyFont="1" applyBorder="1"/>
    <xf numFmtId="0" fontId="23" fillId="0" borderId="16" xfId="0" applyFont="1" applyBorder="1"/>
    <xf numFmtId="4" fontId="23" fillId="0" borderId="19" xfId="0" applyNumberFormat="1" applyFont="1" applyBorder="1" applyAlignment="1">
      <alignment horizontal="right"/>
    </xf>
    <xf numFmtId="0" fontId="23" fillId="0" borderId="7" xfId="0" applyFont="1" applyBorder="1" applyAlignment="1">
      <alignment vertical="center" wrapText="1"/>
    </xf>
    <xf numFmtId="0" fontId="23" fillId="0" borderId="11" xfId="0" applyFont="1" applyBorder="1" applyAlignment="1">
      <alignment vertical="center" wrapText="1"/>
    </xf>
    <xf numFmtId="4" fontId="23" fillId="0" borderId="10" xfId="0" applyNumberFormat="1" applyFont="1" applyBorder="1" applyAlignment="1">
      <alignment horizontal="right" vertical="center" wrapText="1"/>
    </xf>
    <xf numFmtId="0" fontId="23" fillId="0" borderId="10" xfId="0" applyFont="1" applyBorder="1"/>
    <xf numFmtId="4" fontId="34" fillId="6" borderId="23" xfId="0" applyNumberFormat="1" applyFont="1" applyFill="1" applyBorder="1" applyAlignment="1">
      <alignment horizontal="right"/>
    </xf>
    <xf numFmtId="0" fontId="37" fillId="0" borderId="11" xfId="9" applyFont="1" applyBorder="1"/>
    <xf numFmtId="4" fontId="35" fillId="7" borderId="15" xfId="8" applyNumberFormat="1" applyFont="1" applyFill="1" applyBorder="1" applyAlignment="1">
      <alignment horizontal="right"/>
    </xf>
    <xf numFmtId="0" fontId="23" fillId="0" borderId="11" xfId="0" applyFont="1" applyBorder="1" applyAlignment="1">
      <alignment horizontal="right"/>
    </xf>
    <xf numFmtId="4" fontId="33" fillId="6" borderId="18" xfId="0" applyNumberFormat="1" applyFont="1" applyFill="1" applyBorder="1" applyAlignment="1">
      <alignment horizontal="right"/>
    </xf>
    <xf numFmtId="4" fontId="33" fillId="7" borderId="20" xfId="8" applyNumberFormat="1" applyFont="1" applyFill="1" applyBorder="1" applyAlignment="1">
      <alignment horizontal="right"/>
    </xf>
    <xf numFmtId="4" fontId="30" fillId="0" borderId="10" xfId="0" applyNumberFormat="1" applyFont="1" applyBorder="1" applyAlignment="1">
      <alignment horizontal="right"/>
    </xf>
    <xf numFmtId="4" fontId="23" fillId="0" borderId="5" xfId="0" applyNumberFormat="1" applyFont="1" applyBorder="1" applyAlignment="1">
      <alignment horizontal="right"/>
    </xf>
    <xf numFmtId="0" fontId="23" fillId="0" borderId="29" xfId="0" applyFont="1" applyBorder="1"/>
    <xf numFmtId="4" fontId="23" fillId="2" borderId="30" xfId="0" applyNumberFormat="1" applyFont="1" applyFill="1" applyBorder="1" applyAlignment="1">
      <alignment horizontal="right"/>
    </xf>
    <xf numFmtId="4" fontId="23" fillId="0" borderId="29" xfId="0" applyNumberFormat="1" applyFont="1" applyBorder="1" applyAlignment="1">
      <alignment horizontal="right"/>
    </xf>
    <xf numFmtId="0" fontId="29" fillId="0" borderId="31" xfId="0" applyFont="1" applyBorder="1"/>
    <xf numFmtId="166" fontId="23" fillId="0" borderId="9" xfId="0" applyNumberFormat="1" applyFont="1" applyBorder="1" applyAlignment="1">
      <alignment horizontal="right"/>
    </xf>
    <xf numFmtId="4" fontId="23" fillId="0" borderId="7" xfId="0" applyNumberFormat="1" applyFont="1" applyBorder="1" applyAlignment="1">
      <alignment horizontal="right"/>
    </xf>
    <xf numFmtId="0" fontId="31" fillId="0" borderId="11" xfId="0" applyFont="1" applyBorder="1" applyAlignment="1">
      <alignment wrapText="1"/>
    </xf>
    <xf numFmtId="4" fontId="23" fillId="0" borderId="9" xfId="0" applyNumberFormat="1" applyFont="1" applyBorder="1"/>
    <xf numFmtId="4" fontId="33" fillId="0" borderId="32" xfId="0" applyNumberFormat="1" applyFont="1" applyBorder="1" applyAlignment="1">
      <alignment horizontal="right"/>
    </xf>
    <xf numFmtId="4" fontId="26" fillId="0" borderId="32" xfId="0" applyNumberFormat="1" applyFont="1" applyBorder="1" applyAlignment="1">
      <alignment horizontal="right"/>
    </xf>
    <xf numFmtId="0" fontId="26" fillId="0" borderId="7" xfId="0" applyFont="1" applyBorder="1"/>
    <xf numFmtId="4" fontId="26" fillId="0" borderId="10" xfId="0" applyNumberFormat="1" applyFont="1" applyBorder="1" applyAlignment="1">
      <alignment horizontal="right"/>
    </xf>
    <xf numFmtId="4" fontId="26" fillId="0" borderId="7" xfId="0" applyNumberFormat="1" applyFont="1" applyBorder="1" applyAlignment="1">
      <alignment horizontal="right"/>
    </xf>
    <xf numFmtId="0" fontId="26" fillId="0" borderId="11" xfId="0" applyFont="1" applyBorder="1"/>
    <xf numFmtId="0" fontId="21" fillId="0" borderId="0" xfId="0" applyFont="1"/>
    <xf numFmtId="4" fontId="31" fillId="0" borderId="2" xfId="0" applyNumberFormat="1" applyFont="1" applyBorder="1" applyAlignment="1">
      <alignment horizontal="right"/>
    </xf>
    <xf numFmtId="4" fontId="23" fillId="0" borderId="9" xfId="0" applyNumberFormat="1" applyFont="1" applyBorder="1" applyAlignment="1">
      <alignment horizontal="right"/>
    </xf>
    <xf numFmtId="4" fontId="23" fillId="0" borderId="32" xfId="0" applyNumberFormat="1" applyFont="1" applyBorder="1" applyAlignment="1">
      <alignment horizontal="right"/>
    </xf>
    <xf numFmtId="4" fontId="23" fillId="0" borderId="32" xfId="0" applyNumberFormat="1" applyFont="1" applyBorder="1"/>
    <xf numFmtId="0" fontId="22" fillId="10" borderId="0" xfId="0" applyFont="1" applyFill="1"/>
    <xf numFmtId="0" fontId="24" fillId="10" borderId="0" xfId="0" applyFont="1" applyFill="1"/>
    <xf numFmtId="0" fontId="31" fillId="0" borderId="16" xfId="0" applyFont="1" applyBorder="1"/>
    <xf numFmtId="0" fontId="13" fillId="0" borderId="16" xfId="0" applyFont="1" applyBorder="1"/>
    <xf numFmtId="4" fontId="31" fillId="0" borderId="19" xfId="0" applyNumberFormat="1" applyFont="1" applyBorder="1" applyAlignment="1">
      <alignment horizontal="right"/>
    </xf>
    <xf numFmtId="4" fontId="31" fillId="0" borderId="16" xfId="0" applyNumberFormat="1" applyFont="1" applyBorder="1" applyAlignment="1">
      <alignment horizontal="right"/>
    </xf>
    <xf numFmtId="0" fontId="13" fillId="0" borderId="17" xfId="0" applyFont="1" applyBorder="1"/>
    <xf numFmtId="4" fontId="26" fillId="5" borderId="36" xfId="8" applyNumberFormat="1" applyFont="1" applyFill="1" applyBorder="1" applyAlignment="1">
      <alignment horizontal="center" vertical="center" wrapText="1"/>
    </xf>
    <xf numFmtId="166" fontId="26" fillId="4" borderId="37" xfId="8" applyNumberFormat="1" applyFont="1" applyBorder="1" applyAlignment="1">
      <alignment horizontal="center" vertical="center"/>
    </xf>
    <xf numFmtId="4" fontId="26" fillId="4" borderId="38" xfId="8" applyNumberFormat="1" applyFont="1" applyBorder="1" applyAlignment="1">
      <alignment horizontal="center" wrapText="1"/>
    </xf>
    <xf numFmtId="4" fontId="26" fillId="4" borderId="39" xfId="8" applyNumberFormat="1" applyFont="1" applyBorder="1" applyAlignment="1">
      <alignment horizontal="right"/>
    </xf>
    <xf numFmtId="4" fontId="26" fillId="4" borderId="37" xfId="8" applyNumberFormat="1" applyFont="1" applyBorder="1" applyAlignment="1">
      <alignment horizontal="right"/>
    </xf>
    <xf numFmtId="4" fontId="30" fillId="4" borderId="39" xfId="8" applyNumberFormat="1" applyFont="1" applyBorder="1" applyAlignment="1">
      <alignment horizontal="right"/>
    </xf>
    <xf numFmtId="4" fontId="33" fillId="4" borderId="39" xfId="8" applyNumberFormat="1" applyFont="1" applyBorder="1" applyAlignment="1">
      <alignment horizontal="right" vertical="center" wrapText="1"/>
    </xf>
    <xf numFmtId="4" fontId="33" fillId="4" borderId="37" xfId="8" applyNumberFormat="1" applyFont="1" applyBorder="1" applyAlignment="1">
      <alignment horizontal="right" vertical="center" wrapText="1"/>
    </xf>
    <xf numFmtId="4" fontId="33" fillId="4" borderId="37" xfId="8" applyNumberFormat="1" applyFont="1" applyBorder="1"/>
    <xf numFmtId="4" fontId="33" fillId="4" borderId="37" xfId="8" applyNumberFormat="1" applyFont="1" applyBorder="1" applyAlignment="1">
      <alignment horizontal="right"/>
    </xf>
    <xf numFmtId="4" fontId="34" fillId="4" borderId="39" xfId="8" applyNumberFormat="1" applyFont="1" applyBorder="1" applyAlignment="1">
      <alignment horizontal="right"/>
    </xf>
    <xf numFmtId="4" fontId="35" fillId="4" borderId="37" xfId="8" applyNumberFormat="1" applyFont="1" applyBorder="1" applyAlignment="1">
      <alignment horizontal="right"/>
    </xf>
    <xf numFmtId="4" fontId="33" fillId="4" borderId="38" xfId="8" applyNumberFormat="1" applyFont="1" applyBorder="1" applyAlignment="1">
      <alignment horizontal="right"/>
    </xf>
    <xf numFmtId="4" fontId="23" fillId="0" borderId="42" xfId="0" applyNumberFormat="1" applyFont="1" applyBorder="1" applyAlignment="1">
      <alignment horizontal="right"/>
    </xf>
    <xf numFmtId="166" fontId="23" fillId="0" borderId="35" xfId="0" applyNumberFormat="1" applyFont="1" applyBorder="1" applyAlignment="1">
      <alignment horizontal="right"/>
    </xf>
    <xf numFmtId="4" fontId="23" fillId="0" borderId="35" xfId="0" applyNumberFormat="1" applyFont="1" applyBorder="1"/>
    <xf numFmtId="4" fontId="23" fillId="0" borderId="43" xfId="0" applyNumberFormat="1" applyFont="1" applyBorder="1"/>
    <xf numFmtId="4" fontId="33" fillId="0" borderId="43" xfId="0" applyNumberFormat="1" applyFont="1" applyBorder="1" applyAlignment="1">
      <alignment horizontal="right"/>
    </xf>
    <xf numFmtId="4" fontId="26" fillId="0" borderId="43" xfId="0" applyNumberFormat="1" applyFont="1" applyBorder="1" applyAlignment="1">
      <alignment horizontal="right"/>
    </xf>
    <xf numFmtId="4" fontId="31" fillId="0" borderId="41" xfId="0" applyNumberFormat="1" applyFont="1" applyBorder="1" applyAlignment="1">
      <alignment horizontal="right"/>
    </xf>
    <xf numFmtId="4" fontId="23" fillId="0" borderId="35" xfId="0" applyNumberFormat="1" applyFont="1" applyBorder="1" applyAlignment="1">
      <alignment horizontal="right"/>
    </xf>
    <xf numFmtId="4" fontId="23" fillId="0" borderId="43" xfId="0" applyNumberFormat="1" applyFont="1" applyBorder="1" applyAlignment="1">
      <alignment horizontal="right"/>
    </xf>
    <xf numFmtId="4" fontId="31" fillId="0" borderId="45" xfId="0" applyNumberFormat="1" applyFont="1" applyBorder="1" applyAlignment="1">
      <alignment horizontal="right"/>
    </xf>
    <xf numFmtId="4" fontId="26" fillId="4" borderId="44" xfId="8" applyNumberFormat="1" applyFont="1" applyBorder="1" applyAlignment="1">
      <alignment horizontal="right"/>
    </xf>
    <xf numFmtId="44" fontId="0" fillId="0" borderId="0" xfId="0" applyNumberFormat="1"/>
    <xf numFmtId="0" fontId="0" fillId="7" borderId="1" xfId="0" applyFill="1" applyBorder="1"/>
    <xf numFmtId="0" fontId="41" fillId="7" borderId="1" xfId="0" applyFont="1" applyFill="1" applyBorder="1"/>
    <xf numFmtId="0" fontId="0" fillId="12" borderId="1" xfId="0" applyFill="1" applyBorder="1"/>
    <xf numFmtId="0" fontId="41" fillId="12" borderId="1" xfId="0" applyFont="1" applyFill="1" applyBorder="1"/>
    <xf numFmtId="0" fontId="0" fillId="14" borderId="1" xfId="0" applyFill="1" applyBorder="1"/>
    <xf numFmtId="44" fontId="41" fillId="7" borderId="1" xfId="0" applyNumberFormat="1" applyFont="1" applyFill="1" applyBorder="1"/>
    <xf numFmtId="44" fontId="41" fillId="12" borderId="1" xfId="0" applyNumberFormat="1" applyFont="1" applyFill="1" applyBorder="1"/>
    <xf numFmtId="44" fontId="0" fillId="14" borderId="1" xfId="0" applyNumberFormat="1" applyFill="1" applyBorder="1"/>
    <xf numFmtId="44" fontId="0" fillId="7" borderId="1" xfId="0" applyNumberFormat="1" applyFill="1" applyBorder="1"/>
    <xf numFmtId="44" fontId="0" fillId="12" borderId="1" xfId="0" applyNumberFormat="1" applyFill="1" applyBorder="1"/>
    <xf numFmtId="44" fontId="0" fillId="0" borderId="1" xfId="0" applyNumberFormat="1" applyBorder="1"/>
    <xf numFmtId="0" fontId="45" fillId="0" borderId="1" xfId="10" applyFont="1" applyBorder="1" applyAlignment="1">
      <alignment horizontal="left" vertical="center"/>
    </xf>
    <xf numFmtId="165" fontId="45" fillId="15" borderId="1" xfId="1" applyNumberFormat="1" applyFont="1" applyFill="1" applyBorder="1" applyAlignment="1">
      <alignment horizontal="center" vertical="center" wrapText="1"/>
    </xf>
    <xf numFmtId="0" fontId="45" fillId="15" borderId="1" xfId="10" applyFont="1" applyFill="1" applyBorder="1" applyAlignment="1">
      <alignment horizontal="center" vertical="center" wrapText="1"/>
    </xf>
    <xf numFmtId="0" fontId="46" fillId="15" borderId="1" xfId="10" applyFont="1" applyFill="1" applyBorder="1" applyAlignment="1">
      <alignment horizontal="center" vertical="center" wrapText="1"/>
    </xf>
    <xf numFmtId="167" fontId="46" fillId="15" borderId="1" xfId="10" quotePrefix="1" applyNumberFormat="1" applyFont="1" applyFill="1" applyBorder="1" applyAlignment="1">
      <alignment horizontal="center" vertical="center" wrapText="1"/>
    </xf>
    <xf numFmtId="43" fontId="45" fillId="15" borderId="1" xfId="1" applyFont="1" applyFill="1" applyBorder="1" applyAlignment="1">
      <alignment horizontal="center" vertical="center" wrapText="1"/>
    </xf>
    <xf numFmtId="0" fontId="45" fillId="16" borderId="1" xfId="10" applyFont="1" applyFill="1" applyBorder="1" applyAlignment="1">
      <alignment horizontal="left"/>
    </xf>
    <xf numFmtId="44" fontId="46" fillId="16" borderId="1" xfId="1" applyNumberFormat="1" applyFont="1" applyFill="1" applyBorder="1"/>
    <xf numFmtId="43" fontId="46" fillId="16" borderId="1" xfId="1" applyFont="1" applyFill="1" applyBorder="1"/>
    <xf numFmtId="44" fontId="21" fillId="0" borderId="1" xfId="1" applyNumberFormat="1" applyFont="1" applyBorder="1" applyAlignment="1">
      <alignment horizontal="right" indent="1"/>
    </xf>
    <xf numFmtId="44" fontId="47" fillId="0" borderId="1" xfId="1" applyNumberFormat="1" applyFont="1" applyBorder="1" applyAlignment="1">
      <alignment horizontal="right"/>
    </xf>
    <xf numFmtId="44" fontId="47" fillId="0" borderId="1" xfId="1" applyNumberFormat="1" applyFont="1" applyBorder="1"/>
    <xf numFmtId="44" fontId="47" fillId="0" borderId="1" xfId="1" applyNumberFormat="1" applyFont="1" applyFill="1" applyBorder="1"/>
    <xf numFmtId="43" fontId="45" fillId="0" borderId="1" xfId="1" applyFont="1" applyBorder="1" applyAlignment="1">
      <alignment wrapText="1"/>
    </xf>
    <xf numFmtId="43" fontId="47" fillId="0" borderId="1" xfId="1" applyFont="1" applyBorder="1"/>
    <xf numFmtId="0" fontId="12" fillId="0" borderId="1" xfId="0" applyFont="1" applyBorder="1"/>
    <xf numFmtId="0" fontId="45" fillId="9" borderId="1" xfId="10" applyFont="1" applyFill="1" applyBorder="1" applyAlignment="1">
      <alignment horizontal="left"/>
    </xf>
    <xf numFmtId="44" fontId="45" fillId="9" borderId="1" xfId="1" applyNumberFormat="1" applyFont="1" applyFill="1" applyBorder="1" applyAlignment="1">
      <alignment horizontal="left"/>
    </xf>
    <xf numFmtId="44" fontId="21" fillId="0" borderId="1" xfId="1" applyNumberFormat="1" applyFont="1" applyBorder="1" applyAlignment="1">
      <alignment horizontal="left" indent="1"/>
    </xf>
    <xf numFmtId="0" fontId="21" fillId="0" borderId="1" xfId="10" applyFont="1" applyBorder="1" applyAlignment="1">
      <alignment horizontal="left" indent="1"/>
    </xf>
    <xf numFmtId="0" fontId="45" fillId="17" borderId="54" xfId="0" applyFont="1" applyFill="1" applyBorder="1" applyAlignment="1">
      <alignment horizontal="center"/>
    </xf>
    <xf numFmtId="14" fontId="45" fillId="0" borderId="56" xfId="0" applyNumberFormat="1" applyFont="1" applyBorder="1" applyAlignment="1">
      <alignment vertical="center" wrapText="1"/>
    </xf>
    <xf numFmtId="0" fontId="45" fillId="0" borderId="1" xfId="10" applyFont="1" applyBorder="1" applyAlignment="1">
      <alignment horizontal="left"/>
    </xf>
    <xf numFmtId="0" fontId="46" fillId="0" borderId="1" xfId="10" applyFont="1" applyBorder="1" applyAlignment="1">
      <alignment horizontal="center" wrapText="1"/>
    </xf>
    <xf numFmtId="0" fontId="45" fillId="17" borderId="57" xfId="0" applyFont="1" applyFill="1" applyBorder="1" applyAlignment="1">
      <alignment horizontal="center"/>
    </xf>
    <xf numFmtId="14" fontId="45" fillId="0" borderId="59" xfId="0" applyNumberFormat="1" applyFont="1" applyBorder="1" applyAlignment="1">
      <alignment vertical="center" wrapText="1"/>
    </xf>
    <xf numFmtId="3" fontId="47" fillId="0" borderId="1" xfId="10" applyNumberFormat="1" applyFont="1" applyBorder="1"/>
    <xf numFmtId="0" fontId="45" fillId="17" borderId="60" xfId="0" applyFont="1" applyFill="1" applyBorder="1" applyAlignment="1">
      <alignment horizontal="center" vertical="top"/>
    </xf>
    <xf numFmtId="43" fontId="45" fillId="17" borderId="61" xfId="1" applyFont="1" applyFill="1" applyBorder="1" applyAlignment="1">
      <alignment vertical="center"/>
    </xf>
    <xf numFmtId="43" fontId="45" fillId="18" borderId="62" xfId="1" applyFont="1" applyFill="1" applyBorder="1" applyAlignment="1">
      <alignment vertical="center"/>
    </xf>
    <xf numFmtId="0" fontId="45" fillId="19" borderId="1" xfId="10" applyFont="1" applyFill="1" applyBorder="1" applyAlignment="1">
      <alignment horizontal="left"/>
    </xf>
    <xf numFmtId="44" fontId="47" fillId="19" borderId="1" xfId="10" applyNumberFormat="1" applyFont="1" applyFill="1" applyBorder="1"/>
    <xf numFmtId="0" fontId="45" fillId="0" borderId="63" xfId="0" applyFont="1" applyBorder="1"/>
    <xf numFmtId="43" fontId="45" fillId="18" borderId="64" xfId="1" applyFont="1" applyFill="1" applyBorder="1"/>
    <xf numFmtId="43" fontId="45" fillId="18" borderId="59" xfId="1" applyFont="1" applyFill="1" applyBorder="1" applyAlignment="1">
      <alignment vertical="center"/>
    </xf>
    <xf numFmtId="0" fontId="45" fillId="19" borderId="1" xfId="10" applyFont="1" applyFill="1" applyBorder="1" applyAlignment="1">
      <alignment horizontal="left" wrapText="1"/>
    </xf>
    <xf numFmtId="0" fontId="21" fillId="0" borderId="63" xfId="0" applyFont="1" applyBorder="1"/>
    <xf numFmtId="43" fontId="45" fillId="17" borderId="65" xfId="1" applyFont="1" applyFill="1" applyBorder="1"/>
    <xf numFmtId="43" fontId="45" fillId="17" borderId="64" xfId="1" applyFont="1" applyFill="1" applyBorder="1"/>
    <xf numFmtId="44" fontId="21" fillId="0" borderId="1" xfId="10" applyNumberFormat="1" applyFont="1" applyBorder="1" applyAlignment="1">
      <alignment horizontal="left" indent="1"/>
    </xf>
    <xf numFmtId="44" fontId="46" fillId="0" borderId="1" xfId="10" applyNumberFormat="1" applyFont="1" applyBorder="1"/>
    <xf numFmtId="0" fontId="45" fillId="20" borderId="1" xfId="10" applyFont="1" applyFill="1" applyBorder="1" applyAlignment="1">
      <alignment horizontal="left"/>
    </xf>
    <xf numFmtId="44" fontId="46" fillId="20" borderId="1" xfId="10" applyNumberFormat="1" applyFont="1" applyFill="1" applyBorder="1"/>
    <xf numFmtId="43" fontId="21" fillId="17" borderId="64" xfId="1" applyFont="1" applyFill="1" applyBorder="1" applyAlignment="1">
      <alignment horizontal="center" vertical="center"/>
    </xf>
    <xf numFmtId="0" fontId="21" fillId="20" borderId="1" xfId="10" applyFont="1" applyFill="1" applyBorder="1" applyAlignment="1">
      <alignment horizontal="left" indent="1"/>
    </xf>
    <xf numFmtId="44" fontId="21" fillId="20" borderId="1" xfId="10" applyNumberFormat="1" applyFont="1" applyFill="1" applyBorder="1" applyAlignment="1">
      <alignment horizontal="left" indent="1"/>
    </xf>
    <xf numFmtId="9" fontId="46" fillId="20" borderId="1" xfId="7" applyFont="1" applyFill="1" applyBorder="1" applyAlignment="1">
      <alignment horizontal="right"/>
    </xf>
    <xf numFmtId="43" fontId="21" fillId="17" borderId="64" xfId="1" applyFont="1" applyFill="1" applyBorder="1"/>
    <xf numFmtId="0" fontId="21" fillId="19" borderId="1" xfId="10" applyFont="1" applyFill="1" applyBorder="1" applyAlignment="1">
      <alignment horizontal="left" indent="1"/>
    </xf>
    <xf numFmtId="44" fontId="21" fillId="19" borderId="1" xfId="10" applyNumberFormat="1" applyFont="1" applyFill="1" applyBorder="1" applyAlignment="1">
      <alignment horizontal="left" indent="1"/>
    </xf>
    <xf numFmtId="44" fontId="45" fillId="19" borderId="1" xfId="10" applyNumberFormat="1" applyFont="1" applyFill="1" applyBorder="1" applyAlignment="1">
      <alignment horizontal="left"/>
    </xf>
    <xf numFmtId="43" fontId="21" fillId="17" borderId="67" xfId="1" applyFont="1" applyFill="1" applyBorder="1"/>
    <xf numFmtId="44" fontId="45" fillId="20" borderId="1" xfId="10" applyNumberFormat="1" applyFont="1" applyFill="1" applyBorder="1" applyAlignment="1">
      <alignment horizontal="left"/>
    </xf>
    <xf numFmtId="0" fontId="0" fillId="2" borderId="0" xfId="0" applyFill="1"/>
    <xf numFmtId="14" fontId="22" fillId="0" borderId="0" xfId="0" applyNumberFormat="1" applyFont="1"/>
    <xf numFmtId="43" fontId="21" fillId="0" borderId="1" xfId="1" applyFont="1" applyBorder="1" applyAlignment="1">
      <alignment horizontal="left" vertical="top" wrapText="1"/>
    </xf>
    <xf numFmtId="10" fontId="23" fillId="11" borderId="47" xfId="0" applyNumberFormat="1" applyFont="1" applyFill="1" applyBorder="1" applyAlignment="1">
      <alignment horizontal="right" vertical="center"/>
    </xf>
    <xf numFmtId="0" fontId="48" fillId="0" borderId="0" xfId="0" applyFont="1"/>
    <xf numFmtId="0" fontId="48" fillId="0" borderId="0" xfId="0" applyFont="1" applyAlignment="1">
      <alignment wrapText="1"/>
    </xf>
    <xf numFmtId="0" fontId="49" fillId="0" borderId="0" xfId="0" applyFont="1"/>
    <xf numFmtId="0" fontId="48" fillId="0" borderId="0" xfId="0" applyFont="1" applyAlignment="1">
      <alignment horizontal="left" vertical="top" wrapText="1"/>
    </xf>
    <xf numFmtId="0" fontId="48" fillId="0" borderId="0" xfId="0" applyFont="1" applyAlignment="1">
      <alignment horizontal="center"/>
    </xf>
    <xf numFmtId="10" fontId="48" fillId="0" borderId="0" xfId="0" applyNumberFormat="1" applyFont="1"/>
    <xf numFmtId="0" fontId="48" fillId="0" borderId="1" xfId="0" applyFont="1" applyBorder="1" applyAlignment="1">
      <alignment wrapText="1"/>
    </xf>
    <xf numFmtId="0" fontId="48" fillId="21" borderId="1" xfId="0" applyFont="1" applyFill="1" applyBorder="1" applyAlignment="1">
      <alignment wrapText="1"/>
    </xf>
    <xf numFmtId="3" fontId="48" fillId="0" borderId="0" xfId="0" applyNumberFormat="1" applyFont="1"/>
    <xf numFmtId="3" fontId="8" fillId="22" borderId="69" xfId="0" applyNumberFormat="1" applyFont="1" applyFill="1" applyBorder="1" applyAlignment="1" applyProtection="1">
      <alignment horizontal="center"/>
      <protection locked="0"/>
    </xf>
    <xf numFmtId="0" fontId="48" fillId="0" borderId="0" xfId="0" applyFont="1" applyAlignment="1">
      <alignment vertical="center"/>
    </xf>
    <xf numFmtId="0" fontId="48" fillId="23" borderId="1" xfId="0" applyFont="1" applyFill="1" applyBorder="1" applyAlignment="1">
      <alignment wrapText="1"/>
    </xf>
    <xf numFmtId="3" fontId="8" fillId="24" borderId="69" xfId="0" applyNumberFormat="1" applyFont="1" applyFill="1" applyBorder="1" applyAlignment="1" applyProtection="1">
      <alignment horizontal="center"/>
      <protection locked="0"/>
    </xf>
    <xf numFmtId="0" fontId="48" fillId="0" borderId="0" xfId="0" applyFont="1" applyAlignment="1">
      <alignment horizontal="left" vertical="center"/>
    </xf>
    <xf numFmtId="0" fontId="50" fillId="0" borderId="0" xfId="0" applyFont="1"/>
    <xf numFmtId="0" fontId="50" fillId="0" borderId="0" xfId="0" applyFont="1" applyAlignment="1">
      <alignment horizontal="center"/>
    </xf>
    <xf numFmtId="0" fontId="50" fillId="0" borderId="1" xfId="0" applyFont="1" applyBorder="1" applyAlignment="1">
      <alignment wrapText="1"/>
    </xf>
    <xf numFmtId="0" fontId="50" fillId="0" borderId="0" xfId="0" applyFont="1" applyAlignment="1">
      <alignment horizontal="center" wrapText="1"/>
    </xf>
    <xf numFmtId="0" fontId="53" fillId="0" borderId="0" xfId="0" applyFont="1" applyAlignment="1">
      <alignment horizontal="left" vertical="center" indent="2"/>
    </xf>
    <xf numFmtId="0" fontId="55" fillId="0" borderId="0" xfId="0" applyFont="1"/>
    <xf numFmtId="0" fontId="22" fillId="0" borderId="0" xfId="0" applyFont="1" applyAlignment="1">
      <alignment vertical="top"/>
    </xf>
    <xf numFmtId="0" fontId="48" fillId="10" borderId="0" xfId="0" applyFont="1" applyFill="1"/>
    <xf numFmtId="0" fontId="57" fillId="0" borderId="0" xfId="0" applyFont="1"/>
    <xf numFmtId="3" fontId="8" fillId="10" borderId="0" xfId="0" applyNumberFormat="1" applyFont="1" applyFill="1" applyAlignment="1" applyProtection="1">
      <alignment horizontal="center"/>
      <protection locked="0"/>
    </xf>
    <xf numFmtId="44" fontId="24" fillId="0" borderId="0" xfId="3" applyFont="1" applyFill="1" applyBorder="1"/>
    <xf numFmtId="44" fontId="22" fillId="0" borderId="4" xfId="3" applyFont="1" applyFill="1" applyBorder="1"/>
    <xf numFmtId="0" fontId="5" fillId="0" borderId="0" xfId="0" applyFont="1" applyAlignment="1">
      <alignment horizontal="left" vertical="top"/>
    </xf>
    <xf numFmtId="0" fontId="4" fillId="0" borderId="0" xfId="0" applyFont="1"/>
    <xf numFmtId="0" fontId="5" fillId="0" borderId="0" xfId="0" applyFont="1"/>
    <xf numFmtId="164" fontId="5" fillId="0" borderId="0" xfId="0" applyNumberFormat="1" applyFont="1"/>
    <xf numFmtId="164" fontId="61" fillId="0" borderId="0" xfId="0" applyNumberFormat="1" applyFont="1"/>
    <xf numFmtId="0" fontId="5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2" fontId="5" fillId="0" borderId="0" xfId="0" applyNumberFormat="1" applyFont="1"/>
    <xf numFmtId="4" fontId="5" fillId="0" borderId="0" xfId="0" applyNumberFormat="1" applyFont="1"/>
    <xf numFmtId="4" fontId="4" fillId="0" borderId="0" xfId="0" applyNumberFormat="1" applyFont="1" applyAlignment="1">
      <alignment horizontal="center"/>
    </xf>
    <xf numFmtId="0" fontId="5" fillId="0" borderId="0" xfId="0" applyFont="1" applyAlignment="1">
      <alignment horizontal="right"/>
    </xf>
    <xf numFmtId="164" fontId="61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164" fontId="5" fillId="0" borderId="6" xfId="0" applyNumberFormat="1" applyFont="1" applyBorder="1" applyAlignment="1">
      <alignment horizontal="right"/>
    </xf>
    <xf numFmtId="0" fontId="5" fillId="0" borderId="6" xfId="0" applyFont="1" applyBorder="1" applyAlignment="1">
      <alignment horizontal="center" textRotation="60" wrapText="1"/>
    </xf>
    <xf numFmtId="0" fontId="5" fillId="0" borderId="0" xfId="0" applyFont="1" applyAlignment="1">
      <alignment horizontal="center" textRotation="60" wrapText="1"/>
    </xf>
    <xf numFmtId="49" fontId="5" fillId="0" borderId="0" xfId="0" applyNumberFormat="1" applyFont="1" applyAlignment="1">
      <alignment horizontal="center" textRotation="60" wrapText="1"/>
    </xf>
    <xf numFmtId="2" fontId="3" fillId="0" borderId="0" xfId="0" applyNumberFormat="1" applyFont="1" applyAlignment="1">
      <alignment vertical="top" wrapText="1"/>
    </xf>
    <xf numFmtId="0" fontId="5" fillId="0" borderId="0" xfId="0" applyFont="1" applyAlignment="1">
      <alignment horizontal="center" textRotation="90"/>
    </xf>
    <xf numFmtId="49" fontId="5" fillId="0" borderId="0" xfId="0" applyNumberFormat="1" applyFont="1" applyAlignment="1">
      <alignment horizontal="center" textRotation="90"/>
    </xf>
    <xf numFmtId="0" fontId="0" fillId="0" borderId="0" xfId="0" applyAlignment="1">
      <alignment horizontal="left" vertical="top"/>
    </xf>
    <xf numFmtId="14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/>
    <xf numFmtId="14" fontId="5" fillId="0" borderId="0" xfId="0" applyNumberFormat="1" applyFont="1" applyAlignment="1">
      <alignment horizontal="center"/>
    </xf>
    <xf numFmtId="164" fontId="4" fillId="0" borderId="2" xfId="0" applyNumberFormat="1" applyFont="1" applyBorder="1"/>
    <xf numFmtId="164" fontId="60" fillId="0" borderId="2" xfId="0" applyNumberFormat="1" applyFont="1" applyBorder="1"/>
    <xf numFmtId="4" fontId="5" fillId="0" borderId="0" xfId="0" applyNumberFormat="1" applyFont="1" applyAlignment="1">
      <alignment horizontal="center"/>
    </xf>
    <xf numFmtId="164" fontId="60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left" vertical="top"/>
    </xf>
    <xf numFmtId="2" fontId="4" fillId="0" borderId="0" xfId="0" applyNumberFormat="1" applyFont="1"/>
    <xf numFmtId="164" fontId="13" fillId="0" borderId="0" xfId="0" applyNumberFormat="1" applyFont="1"/>
    <xf numFmtId="4" fontId="61" fillId="0" borderId="0" xfId="0" applyNumberFormat="1" applyFont="1"/>
    <xf numFmtId="164" fontId="60" fillId="13" borderId="0" xfId="0" applyNumberFormat="1" applyFont="1" applyFill="1"/>
    <xf numFmtId="43" fontId="45" fillId="15" borderId="1" xfId="1" applyFont="1" applyFill="1" applyBorder="1" applyAlignment="1">
      <alignment vertical="center" wrapText="1"/>
    </xf>
    <xf numFmtId="43" fontId="45" fillId="16" borderId="1" xfId="1" applyFont="1" applyFill="1" applyBorder="1" applyAlignment="1">
      <alignment wrapText="1"/>
    </xf>
    <xf numFmtId="44" fontId="46" fillId="9" borderId="1" xfId="10" quotePrefix="1" applyNumberFormat="1" applyFont="1" applyFill="1" applyBorder="1" applyAlignment="1">
      <alignment wrapText="1"/>
    </xf>
    <xf numFmtId="0" fontId="47" fillId="0" borderId="1" xfId="10" applyFont="1" applyBorder="1" applyAlignment="1">
      <alignment wrapText="1"/>
    </xf>
    <xf numFmtId="44" fontId="47" fillId="0" borderId="1" xfId="10" applyNumberFormat="1" applyFont="1" applyBorder="1"/>
    <xf numFmtId="43" fontId="21" fillId="0" borderId="1" xfId="1" applyFont="1" applyBorder="1" applyAlignment="1">
      <alignment wrapText="1"/>
    </xf>
    <xf numFmtId="43" fontId="59" fillId="0" borderId="1" xfId="1" applyFont="1" applyBorder="1" applyAlignment="1">
      <alignment wrapText="1"/>
    </xf>
    <xf numFmtId="0" fontId="47" fillId="0" borderId="1" xfId="10" applyFont="1" applyBorder="1"/>
    <xf numFmtId="44" fontId="47" fillId="0" borderId="1" xfId="1" applyNumberFormat="1" applyFont="1" applyFill="1" applyBorder="1" applyAlignment="1">
      <alignment vertical="center"/>
    </xf>
    <xf numFmtId="44" fontId="47" fillId="0" borderId="1" xfId="1" applyNumberFormat="1" applyFont="1" applyBorder="1" applyAlignment="1">
      <alignment vertical="center"/>
    </xf>
    <xf numFmtId="43" fontId="0" fillId="0" borderId="59" xfId="1" applyFont="1" applyBorder="1"/>
    <xf numFmtId="0" fontId="0" fillId="0" borderId="63" xfId="0" applyBorder="1"/>
    <xf numFmtId="43" fontId="0" fillId="0" borderId="59" xfId="1" applyFont="1" applyFill="1" applyBorder="1" applyAlignment="1">
      <alignment wrapText="1"/>
    </xf>
    <xf numFmtId="9" fontId="46" fillId="20" borderId="1" xfId="11" applyFont="1" applyFill="1" applyBorder="1"/>
    <xf numFmtId="44" fontId="47" fillId="0" borderId="1" xfId="11" applyNumberFormat="1" applyFont="1" applyFill="1" applyBorder="1" applyAlignment="1">
      <alignment horizontal="right"/>
    </xf>
    <xf numFmtId="44" fontId="47" fillId="19" borderId="1" xfId="11" applyNumberFormat="1" applyFont="1" applyFill="1" applyBorder="1" applyAlignment="1">
      <alignment horizontal="right"/>
    </xf>
    <xf numFmtId="0" fontId="0" fillId="0" borderId="66" xfId="0" applyBorder="1"/>
    <xf numFmtId="43" fontId="0" fillId="0" borderId="68" xfId="1" applyFont="1" applyBorder="1"/>
    <xf numFmtId="2" fontId="47" fillId="0" borderId="1" xfId="11" applyNumberFormat="1" applyFont="1" applyFill="1" applyBorder="1" applyAlignment="1">
      <alignment horizontal="right"/>
    </xf>
    <xf numFmtId="2" fontId="12" fillId="0" borderId="1" xfId="0" applyNumberFormat="1" applyFont="1" applyBorder="1"/>
    <xf numFmtId="0" fontId="14" fillId="0" borderId="0" xfId="3" applyNumberFormat="1" applyFont="1" applyFill="1" applyBorder="1" applyAlignment="1">
      <alignment horizontal="center"/>
    </xf>
    <xf numFmtId="0" fontId="16" fillId="0" borderId="0" xfId="3" applyNumberFormat="1" applyFont="1" applyFill="1" applyBorder="1" applyAlignment="1">
      <alignment horizontal="center"/>
    </xf>
    <xf numFmtId="44" fontId="19" fillId="0" borderId="0" xfId="3" applyFont="1" applyFill="1" applyBorder="1" applyAlignment="1">
      <alignment horizontal="left"/>
    </xf>
    <xf numFmtId="164" fontId="15" fillId="0" borderId="0" xfId="4" applyNumberFormat="1" applyFont="1" applyAlignment="1">
      <alignment horizontal="center"/>
    </xf>
    <xf numFmtId="7" fontId="17" fillId="0" borderId="2" xfId="3" applyNumberFormat="1" applyFont="1" applyFill="1" applyBorder="1" applyAlignment="1">
      <alignment horizontal="center"/>
    </xf>
    <xf numFmtId="164" fontId="18" fillId="0" borderId="2" xfId="3" applyNumberFormat="1" applyFont="1" applyFill="1" applyBorder="1" applyAlignment="1">
      <alignment horizontal="right"/>
    </xf>
    <xf numFmtId="164" fontId="17" fillId="0" borderId="0" xfId="4" applyNumberFormat="1" applyFont="1" applyAlignment="1">
      <alignment horizontal="center"/>
    </xf>
    <xf numFmtId="44" fontId="15" fillId="0" borderId="0" xfId="3" applyFont="1" applyFill="1" applyBorder="1" applyAlignment="1">
      <alignment horizontal="left"/>
    </xf>
    <xf numFmtId="164" fontId="14" fillId="0" borderId="2" xfId="3" applyNumberFormat="1" applyFont="1" applyFill="1" applyBorder="1" applyAlignment="1">
      <alignment horizontal="left"/>
    </xf>
    <xf numFmtId="164" fontId="19" fillId="0" borderId="2" xfId="3" applyNumberFormat="1" applyFont="1" applyFill="1" applyBorder="1" applyAlignment="1">
      <alignment horizontal="right"/>
    </xf>
    <xf numFmtId="44" fontId="19" fillId="0" borderId="2" xfId="3" applyFont="1" applyFill="1" applyBorder="1" applyAlignment="1">
      <alignment horizontal="right"/>
    </xf>
    <xf numFmtId="0" fontId="24" fillId="0" borderId="0" xfId="0" applyFont="1" applyAlignment="1">
      <alignment horizontal="center"/>
    </xf>
    <xf numFmtId="14" fontId="24" fillId="0" borderId="0" xfId="0" applyNumberFormat="1" applyFont="1"/>
    <xf numFmtId="14" fontId="62" fillId="0" borderId="0" xfId="0" applyNumberFormat="1" applyFont="1"/>
    <xf numFmtId="0" fontId="0" fillId="0" borderId="0" xfId="0" applyAlignment="1">
      <alignment horizontal="right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3" fillId="2" borderId="0" xfId="0" applyFont="1" applyFill="1"/>
    <xf numFmtId="44" fontId="0" fillId="2" borderId="0" xfId="0" applyNumberFormat="1" applyFill="1"/>
    <xf numFmtId="0" fontId="13" fillId="2" borderId="1" xfId="0" applyFont="1" applyFill="1" applyBorder="1" applyAlignment="1">
      <alignment horizontal="center"/>
    </xf>
    <xf numFmtId="0" fontId="41" fillId="13" borderId="45" xfId="0" applyFont="1" applyFill="1" applyBorder="1"/>
    <xf numFmtId="44" fontId="41" fillId="13" borderId="50" xfId="0" applyNumberFormat="1" applyFont="1" applyFill="1" applyBorder="1"/>
    <xf numFmtId="44" fontId="0" fillId="13" borderId="50" xfId="0" applyNumberFormat="1" applyFill="1" applyBorder="1"/>
    <xf numFmtId="0" fontId="0" fillId="13" borderId="50" xfId="0" applyFill="1" applyBorder="1"/>
    <xf numFmtId="0" fontId="0" fillId="13" borderId="51" xfId="0" applyFill="1" applyBorder="1"/>
    <xf numFmtId="44" fontId="0" fillId="14" borderId="52" xfId="0" applyNumberFormat="1" applyFill="1" applyBorder="1"/>
    <xf numFmtId="0" fontId="41" fillId="14" borderId="1" xfId="0" applyFont="1" applyFill="1" applyBorder="1"/>
    <xf numFmtId="44" fontId="41" fillId="14" borderId="52" xfId="0" applyNumberFormat="1" applyFont="1" applyFill="1" applyBorder="1"/>
    <xf numFmtId="44" fontId="0" fillId="0" borderId="52" xfId="0" applyNumberFormat="1" applyBorder="1"/>
    <xf numFmtId="0" fontId="42" fillId="17" borderId="52" xfId="0" applyFont="1" applyFill="1" applyBorder="1"/>
    <xf numFmtId="44" fontId="42" fillId="17" borderId="52" xfId="0" applyNumberFormat="1" applyFont="1" applyFill="1" applyBorder="1"/>
    <xf numFmtId="0" fontId="0" fillId="0" borderId="35" xfId="0" applyBorder="1"/>
    <xf numFmtId="0" fontId="0" fillId="0" borderId="7" xfId="0" applyBorder="1"/>
    <xf numFmtId="0" fontId="0" fillId="0" borderId="10" xfId="0" applyBorder="1"/>
    <xf numFmtId="0" fontId="0" fillId="0" borderId="9" xfId="0" applyBorder="1"/>
    <xf numFmtId="0" fontId="0" fillId="2" borderId="47" xfId="0" applyFill="1" applyBorder="1" applyAlignment="1">
      <alignment horizontal="right" vertical="center"/>
    </xf>
    <xf numFmtId="4" fontId="23" fillId="6" borderId="72" xfId="0" applyNumberFormat="1" applyFont="1" applyFill="1" applyBorder="1" applyAlignment="1">
      <alignment horizontal="right"/>
    </xf>
    <xf numFmtId="4" fontId="26" fillId="4" borderId="38" xfId="8" applyNumberFormat="1" applyFont="1" applyBorder="1" applyAlignment="1">
      <alignment horizontal="right"/>
    </xf>
    <xf numFmtId="4" fontId="23" fillId="6" borderId="0" xfId="0" applyNumberFormat="1" applyFont="1" applyFill="1" applyAlignment="1">
      <alignment horizontal="right"/>
    </xf>
    <xf numFmtId="0" fontId="23" fillId="11" borderId="47" xfId="0" applyFont="1" applyFill="1" applyBorder="1" applyAlignment="1">
      <alignment horizontal="right" vertical="center"/>
    </xf>
    <xf numFmtId="4" fontId="33" fillId="6" borderId="23" xfId="0" applyNumberFormat="1" applyFont="1" applyFill="1" applyBorder="1" applyAlignment="1">
      <alignment horizontal="right"/>
    </xf>
    <xf numFmtId="4" fontId="29" fillId="7" borderId="0" xfId="0" applyNumberFormat="1" applyFont="1" applyFill="1"/>
    <xf numFmtId="10" fontId="26" fillId="11" borderId="48" xfId="0" applyNumberFormat="1" applyFont="1" applyFill="1" applyBorder="1" applyAlignment="1">
      <alignment horizontal="right" vertical="center"/>
    </xf>
    <xf numFmtId="4" fontId="33" fillId="6" borderId="14" xfId="0" applyNumberFormat="1" applyFont="1" applyFill="1" applyBorder="1" applyAlignment="1">
      <alignment horizontal="right"/>
    </xf>
    <xf numFmtId="4" fontId="33" fillId="6" borderId="14" xfId="0" applyNumberFormat="1" applyFont="1" applyFill="1" applyBorder="1" applyAlignment="1">
      <alignment horizontal="right" vertical="center" wrapText="1"/>
    </xf>
    <xf numFmtId="4" fontId="23" fillId="0" borderId="11" xfId="0" applyNumberFormat="1" applyFont="1" applyBorder="1"/>
    <xf numFmtId="4" fontId="33" fillId="6" borderId="14" xfId="0" applyNumberFormat="1" applyFont="1" applyFill="1" applyBorder="1"/>
    <xf numFmtId="4" fontId="33" fillId="8" borderId="14" xfId="0" applyNumberFormat="1" applyFont="1" applyFill="1" applyBorder="1" applyAlignment="1">
      <alignment horizontal="right"/>
    </xf>
    <xf numFmtId="4" fontId="33" fillId="4" borderId="40" xfId="8" applyNumberFormat="1" applyFont="1" applyBorder="1" applyAlignment="1">
      <alignment horizontal="right" wrapText="1"/>
    </xf>
    <xf numFmtId="4" fontId="33" fillId="6" borderId="26" xfId="0" applyNumberFormat="1" applyFont="1" applyFill="1" applyBorder="1" applyAlignment="1">
      <alignment horizontal="right"/>
    </xf>
    <xf numFmtId="4" fontId="33" fillId="4" borderId="40" xfId="8" applyNumberFormat="1" applyFont="1" applyBorder="1" applyAlignment="1">
      <alignment horizontal="right"/>
    </xf>
    <xf numFmtId="4" fontId="34" fillId="7" borderId="33" xfId="8" applyNumberFormat="1" applyFont="1" applyFill="1" applyBorder="1" applyAlignment="1">
      <alignment horizontal="right"/>
    </xf>
    <xf numFmtId="4" fontId="40" fillId="4" borderId="41" xfId="8" applyNumberFormat="1" applyFont="1" applyBorder="1" applyAlignment="1">
      <alignment horizontal="right"/>
    </xf>
    <xf numFmtId="4" fontId="30" fillId="6" borderId="27" xfId="0" applyNumberFormat="1" applyFont="1" applyFill="1" applyBorder="1" applyAlignment="1">
      <alignment horizontal="right"/>
    </xf>
    <xf numFmtId="4" fontId="30" fillId="7" borderId="28" xfId="8" applyNumberFormat="1" applyFont="1" applyFill="1" applyBorder="1" applyAlignment="1">
      <alignment horizontal="right"/>
    </xf>
    <xf numFmtId="0" fontId="0" fillId="0" borderId="47" xfId="0" applyBorder="1" applyAlignment="1">
      <alignment horizontal="right" vertical="center"/>
    </xf>
    <xf numFmtId="0" fontId="21" fillId="2" borderId="47" xfId="0" applyFont="1" applyFill="1" applyBorder="1" applyAlignment="1">
      <alignment horizontal="right" vertical="center"/>
    </xf>
    <xf numFmtId="0" fontId="23" fillId="0" borderId="9" xfId="0" applyFont="1" applyBorder="1" applyAlignment="1">
      <alignment horizontal="right"/>
    </xf>
    <xf numFmtId="44" fontId="23" fillId="0" borderId="32" xfId="0" applyNumberFormat="1" applyFont="1" applyBorder="1" applyAlignment="1">
      <alignment horizontal="right"/>
    </xf>
    <xf numFmtId="4" fontId="31" fillId="0" borderId="50" xfId="0" applyNumberFormat="1" applyFont="1" applyBorder="1" applyAlignment="1">
      <alignment horizontal="right"/>
    </xf>
    <xf numFmtId="0" fontId="0" fillId="2" borderId="49" xfId="0" applyFill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164" fontId="4" fillId="13" borderId="0" xfId="0" applyNumberFormat="1" applyFont="1" applyFill="1"/>
    <xf numFmtId="10" fontId="23" fillId="11" borderId="48" xfId="0" applyNumberFormat="1" applyFont="1" applyFill="1" applyBorder="1" applyAlignment="1">
      <alignment horizontal="right" vertical="center"/>
    </xf>
    <xf numFmtId="4" fontId="30" fillId="7" borderId="33" xfId="8" applyNumberFormat="1" applyFont="1" applyFill="1" applyBorder="1" applyAlignment="1">
      <alignment horizontal="right"/>
    </xf>
    <xf numFmtId="4" fontId="26" fillId="7" borderId="0" xfId="8" applyNumberFormat="1" applyFont="1" applyFill="1" applyBorder="1" applyAlignment="1">
      <alignment horizontal="right"/>
    </xf>
    <xf numFmtId="44" fontId="0" fillId="0" borderId="1" xfId="0" applyNumberFormat="1" applyBorder="1" applyAlignment="1">
      <alignment wrapText="1"/>
    </xf>
    <xf numFmtId="8" fontId="0" fillId="0" borderId="1" xfId="0" applyNumberFormat="1" applyBorder="1"/>
    <xf numFmtId="164" fontId="5" fillId="0" borderId="0" xfId="0" applyNumberFormat="1" applyFont="1" applyAlignment="1">
      <alignment horizontal="left"/>
    </xf>
    <xf numFmtId="0" fontId="47" fillId="13" borderId="1" xfId="10" applyFont="1" applyFill="1" applyBorder="1" applyAlignment="1">
      <alignment wrapTex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164" fontId="61" fillId="0" borderId="0" xfId="0" applyNumberFormat="1" applyFont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0" fontId="28" fillId="0" borderId="34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28" fillId="0" borderId="46" xfId="0" applyFont="1" applyBorder="1" applyAlignment="1">
      <alignment horizontal="center"/>
    </xf>
    <xf numFmtId="4" fontId="26" fillId="11" borderId="70" xfId="8" applyNumberFormat="1" applyFont="1" applyFill="1" applyBorder="1" applyAlignment="1">
      <alignment horizontal="center" vertical="top" wrapText="1"/>
    </xf>
    <xf numFmtId="4" fontId="26" fillId="11" borderId="47" xfId="8" applyNumberFormat="1" applyFont="1" applyFill="1" applyBorder="1" applyAlignment="1">
      <alignment horizontal="center" vertical="top" wrapText="1"/>
    </xf>
    <xf numFmtId="4" fontId="26" fillId="11" borderId="71" xfId="8" applyNumberFormat="1" applyFont="1" applyFill="1" applyBorder="1" applyAlignment="1">
      <alignment horizontal="center" vertical="top" wrapText="1"/>
    </xf>
    <xf numFmtId="0" fontId="43" fillId="14" borderId="45" xfId="0" applyFont="1" applyFill="1" applyBorder="1" applyAlignment="1">
      <alignment horizontal="left"/>
    </xf>
    <xf numFmtId="0" fontId="43" fillId="14" borderId="50" xfId="0" applyFont="1" applyFill="1" applyBorder="1" applyAlignment="1">
      <alignment horizontal="left"/>
    </xf>
    <xf numFmtId="0" fontId="43" fillId="14" borderId="51" xfId="0" applyFont="1" applyFill="1" applyBorder="1" applyAlignment="1">
      <alignment horizontal="left"/>
    </xf>
    <xf numFmtId="0" fontId="44" fillId="2" borderId="0" xfId="0" applyFont="1" applyFill="1" applyAlignment="1">
      <alignment horizontal="center"/>
    </xf>
    <xf numFmtId="0" fontId="43" fillId="7" borderId="45" xfId="0" applyFont="1" applyFill="1" applyBorder="1" applyAlignment="1">
      <alignment horizontal="left"/>
    </xf>
    <xf numFmtId="0" fontId="43" fillId="7" borderId="50" xfId="0" applyFont="1" applyFill="1" applyBorder="1" applyAlignment="1">
      <alignment horizontal="left"/>
    </xf>
    <xf numFmtId="0" fontId="43" fillId="12" borderId="45" xfId="0" applyFont="1" applyFill="1" applyBorder="1" applyAlignment="1">
      <alignment horizontal="left"/>
    </xf>
    <xf numFmtId="0" fontId="43" fillId="12" borderId="50" xfId="0" applyFont="1" applyFill="1" applyBorder="1" applyAlignment="1">
      <alignment horizontal="left"/>
    </xf>
    <xf numFmtId="0" fontId="43" fillId="12" borderId="51" xfId="0" applyFont="1" applyFill="1" applyBorder="1" applyAlignment="1">
      <alignment horizontal="left"/>
    </xf>
    <xf numFmtId="0" fontId="22" fillId="0" borderId="0" xfId="0" applyFont="1" applyAlignment="1">
      <alignment horizontal="center"/>
    </xf>
    <xf numFmtId="0" fontId="14" fillId="2" borderId="0" xfId="4" applyFont="1" applyFill="1" applyAlignment="1">
      <alignment horizontal="center"/>
    </xf>
    <xf numFmtId="0" fontId="20" fillId="2" borderId="0" xfId="4" applyFont="1" applyFill="1" applyAlignment="1">
      <alignment horizontal="center"/>
    </xf>
    <xf numFmtId="0" fontId="9" fillId="0" borderId="0" xfId="0" applyFont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0" fontId="54" fillId="0" borderId="0" xfId="0" applyFont="1" applyAlignment="1">
      <alignment horizontal="left" vertical="center" wrapText="1"/>
    </xf>
    <xf numFmtId="0" fontId="54" fillId="0" borderId="0" xfId="0" applyFont="1" applyAlignment="1">
      <alignment horizontal="left" vertical="center"/>
    </xf>
    <xf numFmtId="0" fontId="48" fillId="0" borderId="0" xfId="0" applyFont="1" applyAlignment="1">
      <alignment horizontal="left" vertical="center" wrapText="1"/>
    </xf>
    <xf numFmtId="0" fontId="48" fillId="0" borderId="0" xfId="0" applyFont="1" applyAlignment="1">
      <alignment wrapText="1"/>
    </xf>
    <xf numFmtId="0" fontId="48" fillId="0" borderId="53" xfId="0" applyFont="1" applyBorder="1" applyAlignment="1">
      <alignment wrapText="1"/>
    </xf>
    <xf numFmtId="49" fontId="10" fillId="3" borderId="0" xfId="6" applyNumberFormat="1" applyFont="1" applyFill="1" applyAlignment="1">
      <alignment horizontal="center" vertical="top" wrapText="1"/>
    </xf>
    <xf numFmtId="14" fontId="10" fillId="0" borderId="0" xfId="6" applyNumberFormat="1" applyFont="1" applyAlignment="1">
      <alignment horizontal="center" wrapText="1"/>
    </xf>
    <xf numFmtId="0" fontId="45" fillId="17" borderId="55" xfId="0" applyFont="1" applyFill="1" applyBorder="1" applyAlignment="1">
      <alignment horizontal="center" vertical="center" wrapText="1"/>
    </xf>
    <xf numFmtId="0" fontId="45" fillId="17" borderId="58" xfId="0" applyFont="1" applyFill="1" applyBorder="1" applyAlignment="1">
      <alignment horizontal="center" vertical="center" wrapText="1"/>
    </xf>
    <xf numFmtId="0" fontId="46" fillId="0" borderId="45" xfId="10" applyFont="1" applyBorder="1" applyAlignment="1">
      <alignment horizontal="center" wrapText="1"/>
    </xf>
    <xf numFmtId="0" fontId="46" fillId="0" borderId="50" xfId="10" applyFont="1" applyBorder="1" applyAlignment="1">
      <alignment horizontal="center" wrapText="1"/>
    </xf>
    <xf numFmtId="0" fontId="46" fillId="0" borderId="51" xfId="10" applyFont="1" applyBorder="1" applyAlignment="1">
      <alignment horizontal="center" wrapText="1"/>
    </xf>
    <xf numFmtId="2" fontId="5" fillId="0" borderId="0" xfId="0" applyNumberFormat="1" applyFont="1" applyAlignment="1">
      <alignment horizontal="left" wrapText="1"/>
    </xf>
  </cellXfs>
  <cellStyles count="12">
    <cellStyle name="Comma" xfId="1" builtinId="3"/>
    <cellStyle name="Comma 3" xfId="2" xr:uid="{00000000-0005-0000-0000-000001000000}"/>
    <cellStyle name="Currency" xfId="3" builtinId="4"/>
    <cellStyle name="Good" xfId="8" builtinId="26"/>
    <cellStyle name="Hyperlink" xfId="9" builtinId="8"/>
    <cellStyle name="Normal" xfId="0" builtinId="0"/>
    <cellStyle name="Normal 2" xfId="4" xr:uid="{00000000-0005-0000-0000-000004000000}"/>
    <cellStyle name="Normal 3" xfId="5" xr:uid="{00000000-0005-0000-0000-000005000000}"/>
    <cellStyle name="Normal_Master Copy Scole Parish Council Accounts" xfId="6" xr:uid="{00000000-0005-0000-0000-000006000000}"/>
    <cellStyle name="Normal_Proposed Budget 2011-12" xfId="10" xr:uid="{1FFCBB25-F040-4355-89B2-CDAB4AD2C195}"/>
    <cellStyle name="Percent" xfId="7" builtinId="5"/>
    <cellStyle name="Percent 2" xfId="11" xr:uid="{5BDC9564-03DB-4150-82B7-4372D3C0834A}"/>
  </cellStyles>
  <dxfs count="38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8e741b3b8ae76743/Parish%20Council/Finance%20and%20Accounts/Bank%20Reconciliations/8.%20August%2024/28.08.24%20-%20RSMwH%20PC%20Cash%20Book%202024-25.xlsx" TargetMode="External"/><Relationship Id="rId1" Type="http://schemas.openxmlformats.org/officeDocument/2006/relationships/externalLinkPath" Target="Bank%20Reconciliations/8.%20August%2024/28.08.24%20-%20RSMwH%20PC%20Cash%20Book%202024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4-25 Running"/>
      <sheetName val="Ear Marked Funds"/>
      <sheetName val="Receipts"/>
      <sheetName val="Grants Payments"/>
      <sheetName val="Grants Receipts"/>
      <sheetName val="Payments"/>
      <sheetName val="Bank Recon"/>
      <sheetName val="Year to Date"/>
      <sheetName val="Variances"/>
      <sheetName val="Annual Return"/>
      <sheetName val="Budget 2025-26"/>
    </sheetNames>
    <sheetDataSet>
      <sheetData sheetId="0"/>
      <sheetData sheetId="1"/>
      <sheetData sheetId="2"/>
      <sheetData sheetId="3"/>
      <sheetData sheetId="4"/>
      <sheetData sheetId="5"/>
      <sheetData sheetId="6">
        <row r="29">
          <cell r="D29">
            <v>15752.33</v>
          </cell>
        </row>
      </sheetData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C5A28-BCC8-4B14-B0AA-F596FFCA676D}">
  <dimension ref="A1:U66"/>
  <sheetViews>
    <sheetView zoomScale="90" zoomScaleNormal="90" workbookViewId="0">
      <selection activeCell="O15" sqref="O15"/>
    </sheetView>
  </sheetViews>
  <sheetFormatPr defaultColWidth="8.7109375" defaultRowHeight="15" x14ac:dyDescent="0.25"/>
  <cols>
    <col min="1" max="1" width="13.85546875" customWidth="1"/>
    <col min="2" max="2" width="0.85546875" customWidth="1"/>
    <col min="3" max="3" width="28.140625" customWidth="1"/>
    <col min="4" max="4" width="0.85546875" customWidth="1"/>
    <col min="5" max="5" width="15.42578125" customWidth="1"/>
    <col min="6" max="6" width="0.85546875" customWidth="1"/>
    <col min="7" max="7" width="30" customWidth="1"/>
    <col min="8" max="8" width="0.85546875" customWidth="1"/>
    <col min="9" max="9" width="17.140625" customWidth="1"/>
    <col min="10" max="10" width="18.85546875" style="356" customWidth="1"/>
  </cols>
  <sheetData>
    <row r="1" spans="1:10" ht="23.25" x14ac:dyDescent="0.35">
      <c r="A1" s="371" t="s">
        <v>201</v>
      </c>
      <c r="B1" s="372"/>
      <c r="C1" s="372"/>
      <c r="D1" s="372"/>
      <c r="E1" s="372"/>
      <c r="F1" s="372"/>
      <c r="G1" s="372"/>
      <c r="H1" s="372"/>
      <c r="I1" s="372"/>
      <c r="J1" s="373"/>
    </row>
    <row r="2" spans="1:10" ht="8.1" customHeight="1" x14ac:dyDescent="0.25">
      <c r="A2" s="326"/>
      <c r="B2" s="327"/>
      <c r="C2" s="327"/>
      <c r="D2" s="327"/>
      <c r="E2" s="328"/>
      <c r="F2" s="327"/>
      <c r="G2" s="43"/>
      <c r="H2" s="327"/>
      <c r="I2" s="329"/>
      <c r="J2" s="330"/>
    </row>
    <row r="3" spans="1:10" ht="31.5" customHeight="1" x14ac:dyDescent="0.25">
      <c r="A3" s="120" t="s">
        <v>42</v>
      </c>
      <c r="B3" s="44"/>
      <c r="C3" s="45" t="s">
        <v>43</v>
      </c>
      <c r="D3" s="46"/>
      <c r="E3" s="47" t="s">
        <v>44</v>
      </c>
      <c r="F3" s="48"/>
      <c r="G3" s="49"/>
      <c r="H3" s="44"/>
      <c r="I3" s="50" t="s">
        <v>42</v>
      </c>
      <c r="J3" s="374" t="s">
        <v>296</v>
      </c>
    </row>
    <row r="4" spans="1:10" ht="15.75" x14ac:dyDescent="0.25">
      <c r="A4" s="121">
        <v>45382</v>
      </c>
      <c r="B4" s="51"/>
      <c r="C4" s="52"/>
      <c r="D4" s="52"/>
      <c r="E4" s="53">
        <v>45747</v>
      </c>
      <c r="F4" s="54"/>
      <c r="G4" s="43"/>
      <c r="H4" s="51"/>
      <c r="I4" s="55">
        <f>SUM('Bank Recon'!B8)</f>
        <v>45747</v>
      </c>
      <c r="J4" s="375"/>
    </row>
    <row r="5" spans="1:10" ht="15.75" x14ac:dyDescent="0.25">
      <c r="A5" s="122" t="s">
        <v>45</v>
      </c>
      <c r="B5" s="56"/>
      <c r="C5" s="57" t="s">
        <v>46</v>
      </c>
      <c r="D5" s="58"/>
      <c r="E5" s="59" t="s">
        <v>45</v>
      </c>
      <c r="F5" s="60"/>
      <c r="G5" s="61" t="s">
        <v>47</v>
      </c>
      <c r="H5" s="56"/>
      <c r="I5" s="62" t="s">
        <v>45</v>
      </c>
      <c r="J5" s="376"/>
    </row>
    <row r="6" spans="1:10" ht="15.75" x14ac:dyDescent="0.25">
      <c r="A6" s="123">
        <v>14600</v>
      </c>
      <c r="B6" s="63"/>
      <c r="C6" s="64" t="s">
        <v>5</v>
      </c>
      <c r="D6" s="64"/>
      <c r="E6" s="65">
        <v>16000</v>
      </c>
      <c r="F6" s="66"/>
      <c r="G6" s="67"/>
      <c r="H6" s="64"/>
      <c r="I6" s="360" t="e">
        <f>SUM('Bank Account'!#REF!)</f>
        <v>#REF!</v>
      </c>
      <c r="J6" s="358" t="e">
        <f>I6/E6</f>
        <v>#REF!</v>
      </c>
    </row>
    <row r="7" spans="1:10" ht="15" customHeight="1" x14ac:dyDescent="0.25">
      <c r="A7" s="124">
        <v>1200</v>
      </c>
      <c r="B7" s="68"/>
      <c r="C7" s="69" t="s">
        <v>166</v>
      </c>
      <c r="D7" s="69"/>
      <c r="E7" s="70">
        <v>1200</v>
      </c>
      <c r="F7" s="71"/>
      <c r="G7" s="67"/>
      <c r="H7" s="69"/>
      <c r="I7" s="360" t="e">
        <f>SUM('Bank Account'!#REF!)</f>
        <v>#REF!</v>
      </c>
      <c r="J7" s="358" t="e">
        <f t="shared" ref="J7:J17" si="0">I7/E7</f>
        <v>#REF!</v>
      </c>
    </row>
    <row r="8" spans="1:10" ht="15.75" x14ac:dyDescent="0.25">
      <c r="A8" s="124">
        <v>153.13999999999999</v>
      </c>
      <c r="B8" s="68"/>
      <c r="C8" s="69" t="s">
        <v>168</v>
      </c>
      <c r="D8" s="69"/>
      <c r="E8" s="70">
        <v>150</v>
      </c>
      <c r="F8" s="71"/>
      <c r="G8" s="67"/>
      <c r="H8" s="69"/>
      <c r="I8" s="360" t="e">
        <f>SUM('Bank Account'!#REF!)</f>
        <v>#REF!</v>
      </c>
      <c r="J8" s="358" t="e">
        <f t="shared" si="0"/>
        <v>#REF!</v>
      </c>
    </row>
    <row r="9" spans="1:10" ht="15.75" x14ac:dyDescent="0.25">
      <c r="A9" s="124">
        <v>414.84</v>
      </c>
      <c r="B9" s="68"/>
      <c r="C9" s="69" t="s">
        <v>170</v>
      </c>
      <c r="D9" s="69"/>
      <c r="E9" s="331">
        <v>265</v>
      </c>
      <c r="F9" s="71"/>
      <c r="G9" s="67"/>
      <c r="H9" s="69"/>
      <c r="I9" s="360" t="e">
        <f>SUM('Bank Account'!#REF!)</f>
        <v>#REF!</v>
      </c>
      <c r="J9" s="358" t="e">
        <f t="shared" si="0"/>
        <v>#REF!</v>
      </c>
    </row>
    <row r="10" spans="1:10" ht="15.75" x14ac:dyDescent="0.25">
      <c r="A10" s="332">
        <v>250</v>
      </c>
      <c r="B10" s="68"/>
      <c r="C10" s="69" t="s">
        <v>172</v>
      </c>
      <c r="D10" s="69"/>
      <c r="E10" s="333">
        <v>125</v>
      </c>
      <c r="F10" s="71"/>
      <c r="G10" s="67"/>
      <c r="H10" s="69"/>
      <c r="I10" s="360" t="e">
        <f>SUM('Bank Account'!#REF!)</f>
        <v>#REF!</v>
      </c>
      <c r="J10" s="358" t="e">
        <f t="shared" si="0"/>
        <v>#REF!</v>
      </c>
    </row>
    <row r="11" spans="1:10" ht="15.75" x14ac:dyDescent="0.25">
      <c r="A11" s="143">
        <v>0</v>
      </c>
      <c r="B11" s="68"/>
      <c r="C11" s="69" t="s">
        <v>174</v>
      </c>
      <c r="D11" s="69"/>
      <c r="E11" s="74">
        <v>200</v>
      </c>
      <c r="F11" s="71"/>
      <c r="G11" s="67"/>
      <c r="H11" s="69"/>
      <c r="I11" s="360" t="e">
        <f>SUM('Bank Account'!#REF!)</f>
        <v>#REF!</v>
      </c>
      <c r="J11" s="358" t="e">
        <f t="shared" si="0"/>
        <v>#REF!</v>
      </c>
    </row>
    <row r="12" spans="1:10" ht="15.75" x14ac:dyDescent="0.25">
      <c r="A12" s="143">
        <v>2900.23</v>
      </c>
      <c r="B12" s="68"/>
      <c r="C12" s="69" t="s">
        <v>71</v>
      </c>
      <c r="D12" s="69"/>
      <c r="E12" s="74">
        <v>0</v>
      </c>
      <c r="F12" s="71"/>
      <c r="G12" s="67"/>
      <c r="H12" s="69"/>
      <c r="I12" s="360" t="e">
        <f>SUM('Bank Account'!#REF!)</f>
        <v>#REF!</v>
      </c>
      <c r="J12" s="358" t="e">
        <f t="shared" si="0"/>
        <v>#REF!</v>
      </c>
    </row>
    <row r="13" spans="1:10" ht="15.75" x14ac:dyDescent="0.25">
      <c r="A13" s="143">
        <v>162.72</v>
      </c>
      <c r="B13" s="68"/>
      <c r="C13" s="69" t="s">
        <v>84</v>
      </c>
      <c r="D13" s="69"/>
      <c r="E13" s="74">
        <v>0</v>
      </c>
      <c r="F13" s="71"/>
      <c r="G13" s="67"/>
      <c r="H13" s="69"/>
      <c r="I13" s="360" t="e">
        <f>SUM('Bank Account'!#REF!)</f>
        <v>#REF!</v>
      </c>
      <c r="J13" s="358" t="e">
        <f t="shared" si="0"/>
        <v>#REF!</v>
      </c>
    </row>
    <row r="14" spans="1:10" ht="15.75" x14ac:dyDescent="0.25">
      <c r="A14" s="143"/>
      <c r="B14" s="68"/>
      <c r="C14" s="69" t="s">
        <v>209</v>
      </c>
      <c r="D14" s="69"/>
      <c r="E14" s="74">
        <v>350</v>
      </c>
      <c r="F14" s="71"/>
      <c r="G14" s="67"/>
      <c r="H14" s="69"/>
      <c r="I14" s="360" t="e">
        <f>SUM('Bank Account'!#REF!)</f>
        <v>#REF!</v>
      </c>
      <c r="J14" s="358" t="e">
        <f>I14/E14</f>
        <v>#REF!</v>
      </c>
    </row>
    <row r="15" spans="1:10" ht="15.75" x14ac:dyDescent="0.25">
      <c r="A15" s="143"/>
      <c r="B15" s="68"/>
      <c r="C15" s="69" t="s">
        <v>323</v>
      </c>
      <c r="D15" s="69"/>
      <c r="E15" s="74">
        <v>0</v>
      </c>
      <c r="F15" s="71"/>
      <c r="G15" s="67" t="s">
        <v>295</v>
      </c>
      <c r="H15" s="69"/>
      <c r="I15" s="360" t="e">
        <f>SUM('Bank Account'!E153)+#REF!</f>
        <v>#REF!</v>
      </c>
      <c r="J15" s="358" t="e">
        <f>I15/E15</f>
        <v>#REF!</v>
      </c>
    </row>
    <row r="16" spans="1:10" ht="15.75" x14ac:dyDescent="0.25">
      <c r="A16" s="143">
        <v>69.599999999999994</v>
      </c>
      <c r="B16" s="68"/>
      <c r="C16" s="69" t="s">
        <v>175</v>
      </c>
      <c r="D16" s="69"/>
      <c r="E16" s="74">
        <v>0</v>
      </c>
      <c r="F16" s="71"/>
      <c r="G16" s="67"/>
      <c r="H16" s="69"/>
      <c r="I16" s="360" t="e">
        <f>SUM('Bank Account'!#REF!)</f>
        <v>#REF!</v>
      </c>
      <c r="J16" s="358" t="e">
        <f t="shared" si="0"/>
        <v>#REF!</v>
      </c>
    </row>
    <row r="17" spans="1:10" ht="15.75" x14ac:dyDescent="0.25">
      <c r="A17" s="143">
        <v>1229.25</v>
      </c>
      <c r="B17" s="68"/>
      <c r="C17" s="69" t="s">
        <v>125</v>
      </c>
      <c r="D17" s="69"/>
      <c r="E17" s="74">
        <v>0</v>
      </c>
      <c r="F17" s="71"/>
      <c r="G17" s="67"/>
      <c r="H17" s="69"/>
      <c r="I17" s="360" t="e">
        <f>SUM('Bank Account'!#REF!)</f>
        <v>#REF!</v>
      </c>
      <c r="J17" s="358" t="e">
        <f t="shared" si="0"/>
        <v>#REF!</v>
      </c>
    </row>
    <row r="18" spans="1:10" ht="15.75" x14ac:dyDescent="0.25">
      <c r="A18" s="125">
        <f>SUM(A6:A17)</f>
        <v>20979.78</v>
      </c>
      <c r="B18" s="75"/>
      <c r="C18" s="76" t="s">
        <v>48</v>
      </c>
      <c r="D18" s="76"/>
      <c r="E18" s="77">
        <f>SUM(E6:E17)</f>
        <v>18290</v>
      </c>
      <c r="F18" s="78"/>
      <c r="G18" s="79"/>
      <c r="H18" s="75"/>
      <c r="I18" s="359" t="e">
        <f>SUM(I6:I17)</f>
        <v>#REF!</v>
      </c>
      <c r="J18" s="212"/>
    </row>
    <row r="19" spans="1:10" ht="8.1" customHeight="1" x14ac:dyDescent="0.25">
      <c r="A19" s="124"/>
      <c r="B19" s="68"/>
      <c r="C19" s="69"/>
      <c r="D19" s="69"/>
      <c r="E19" s="70"/>
      <c r="F19" s="71"/>
      <c r="G19" s="72"/>
      <c r="H19" s="68"/>
      <c r="I19" s="73"/>
      <c r="J19" s="334"/>
    </row>
    <row r="20" spans="1:10" ht="15.75" x14ac:dyDescent="0.25">
      <c r="A20" s="122" t="s">
        <v>45</v>
      </c>
      <c r="B20" s="80"/>
      <c r="C20" s="57" t="s">
        <v>49</v>
      </c>
      <c r="D20" s="57"/>
      <c r="E20" s="59" t="s">
        <v>45</v>
      </c>
      <c r="F20" s="81"/>
      <c r="G20" s="61" t="s">
        <v>47</v>
      </c>
      <c r="H20" s="80"/>
      <c r="I20" s="62" t="s">
        <v>45</v>
      </c>
      <c r="J20" s="334"/>
    </row>
    <row r="21" spans="1:10" ht="15.75" customHeight="1" x14ac:dyDescent="0.25">
      <c r="A21" s="126">
        <v>4829.4399999999996</v>
      </c>
      <c r="B21" s="63"/>
      <c r="C21" s="64" t="s">
        <v>11</v>
      </c>
      <c r="D21" s="64"/>
      <c r="E21" s="335">
        <v>5399</v>
      </c>
      <c r="F21" s="66"/>
      <c r="G21" s="72"/>
      <c r="H21" s="64"/>
      <c r="I21" s="336" t="e">
        <f>'Bank Account'!#REF!</f>
        <v>#REF!</v>
      </c>
      <c r="J21" s="337" t="e">
        <f>I21/E21</f>
        <v>#REF!</v>
      </c>
    </row>
    <row r="22" spans="1:10" ht="15.75" customHeight="1" x14ac:dyDescent="0.25">
      <c r="A22" s="127">
        <v>312</v>
      </c>
      <c r="B22" s="63"/>
      <c r="C22" s="64" t="s">
        <v>165</v>
      </c>
      <c r="D22" s="64"/>
      <c r="E22" s="338">
        <v>312</v>
      </c>
      <c r="F22" s="66"/>
      <c r="G22" s="72"/>
      <c r="H22" s="64"/>
      <c r="I22" s="336" t="e">
        <f>'Bank Account'!#REF!</f>
        <v>#REF!</v>
      </c>
      <c r="J22" s="337" t="e">
        <f t="shared" ref="J22:J48" si="1">I22/E22</f>
        <v>#REF!</v>
      </c>
    </row>
    <row r="23" spans="1:10" ht="15.75" customHeight="1" x14ac:dyDescent="0.25">
      <c r="A23" s="128">
        <v>106.35</v>
      </c>
      <c r="B23" s="82"/>
      <c r="C23" s="83" t="s">
        <v>167</v>
      </c>
      <c r="D23" s="83"/>
      <c r="E23" s="339">
        <v>100</v>
      </c>
      <c r="F23" s="84"/>
      <c r="G23" s="72"/>
      <c r="H23" s="83"/>
      <c r="I23" s="336" t="e">
        <f>'Bank Account'!#REF!</f>
        <v>#REF!</v>
      </c>
      <c r="J23" s="337" t="e">
        <f t="shared" si="1"/>
        <v>#REF!</v>
      </c>
    </row>
    <row r="24" spans="1:10" ht="15.75" customHeight="1" x14ac:dyDescent="0.25">
      <c r="A24" s="127">
        <v>82.01</v>
      </c>
      <c r="B24" s="82"/>
      <c r="C24" s="83" t="s">
        <v>169</v>
      </c>
      <c r="D24" s="83"/>
      <c r="E24" s="339">
        <v>100</v>
      </c>
      <c r="F24" s="84"/>
      <c r="G24" s="72"/>
      <c r="H24" s="83"/>
      <c r="I24" s="336" t="e">
        <f>'Bank Account'!#REF!</f>
        <v>#REF!</v>
      </c>
      <c r="J24" s="337" t="e">
        <f t="shared" si="1"/>
        <v>#REF!</v>
      </c>
    </row>
    <row r="25" spans="1:10" ht="15.75" customHeight="1" x14ac:dyDescent="0.25">
      <c r="A25" s="127">
        <v>4413</v>
      </c>
      <c r="B25" s="82"/>
      <c r="C25" s="83" t="s">
        <v>171</v>
      </c>
      <c r="D25" s="83"/>
      <c r="E25" s="339">
        <v>4600</v>
      </c>
      <c r="F25" s="84"/>
      <c r="G25" s="72"/>
      <c r="H25" s="83"/>
      <c r="I25" s="336" t="e">
        <f>'Bank Account'!#REF!</f>
        <v>#REF!</v>
      </c>
      <c r="J25" s="337" t="e">
        <f t="shared" si="1"/>
        <v>#REF!</v>
      </c>
    </row>
    <row r="26" spans="1:10" ht="15.75" x14ac:dyDescent="0.25">
      <c r="A26" s="129">
        <v>9.44</v>
      </c>
      <c r="B26" s="68"/>
      <c r="C26" s="69" t="s">
        <v>173</v>
      </c>
      <c r="D26" s="69"/>
      <c r="E26" s="338">
        <v>30</v>
      </c>
      <c r="F26" s="71"/>
      <c r="G26" s="72"/>
      <c r="H26" s="69"/>
      <c r="I26" s="336" t="e">
        <f>'Bank Account'!#REF!</f>
        <v>#REF!</v>
      </c>
      <c r="J26" s="337" t="e">
        <f t="shared" si="1"/>
        <v>#REF!</v>
      </c>
    </row>
    <row r="27" spans="1:10" ht="15.75" x14ac:dyDescent="0.25">
      <c r="A27" s="128">
        <v>65</v>
      </c>
      <c r="B27" s="68"/>
      <c r="C27" s="340" t="s">
        <v>50</v>
      </c>
      <c r="D27" s="69"/>
      <c r="E27" s="341">
        <v>75</v>
      </c>
      <c r="F27" s="85"/>
      <c r="G27" s="72"/>
      <c r="H27" s="69"/>
      <c r="I27" s="336" t="e">
        <f>'Bank Account'!#REF!</f>
        <v>#REF!</v>
      </c>
      <c r="J27" s="337" t="e">
        <f t="shared" si="1"/>
        <v>#REF!</v>
      </c>
    </row>
    <row r="28" spans="1:10" ht="15.75" x14ac:dyDescent="0.25">
      <c r="A28" s="128">
        <v>0</v>
      </c>
      <c r="B28" s="68"/>
      <c r="C28" s="340" t="s">
        <v>51</v>
      </c>
      <c r="D28" s="69"/>
      <c r="E28" s="341">
        <v>210</v>
      </c>
      <c r="F28" s="85"/>
      <c r="G28" s="72"/>
      <c r="H28" s="69"/>
      <c r="I28" s="336" t="e">
        <f>'Bank Account'!#REF!</f>
        <v>#REF!</v>
      </c>
      <c r="J28" s="337" t="e">
        <f t="shared" si="1"/>
        <v>#REF!</v>
      </c>
    </row>
    <row r="29" spans="1:10" ht="15.75" x14ac:dyDescent="0.25">
      <c r="A29" s="129">
        <v>247.79</v>
      </c>
      <c r="B29" s="68"/>
      <c r="C29" s="69" t="s">
        <v>176</v>
      </c>
      <c r="D29" s="69"/>
      <c r="E29" s="338">
        <v>400</v>
      </c>
      <c r="F29" s="71"/>
      <c r="G29" s="72"/>
      <c r="H29" s="69"/>
      <c r="I29" s="336" t="e">
        <f>'Bank Account'!#REF!</f>
        <v>#REF!</v>
      </c>
      <c r="J29" s="337" t="e">
        <f t="shared" si="1"/>
        <v>#REF!</v>
      </c>
    </row>
    <row r="30" spans="1:10" ht="15.75" x14ac:dyDescent="0.25">
      <c r="A30" s="129">
        <v>0</v>
      </c>
      <c r="B30" s="68"/>
      <c r="C30" s="69" t="s">
        <v>177</v>
      </c>
      <c r="D30" s="69"/>
      <c r="E30" s="338">
        <v>0</v>
      </c>
      <c r="F30" s="71"/>
      <c r="G30" s="72"/>
      <c r="H30" s="69"/>
      <c r="I30" s="336" t="e">
        <f>'Bank Account'!#REF!</f>
        <v>#REF!</v>
      </c>
      <c r="J30" s="337" t="e">
        <f t="shared" si="1"/>
        <v>#REF!</v>
      </c>
    </row>
    <row r="31" spans="1:10" ht="15.75" x14ac:dyDescent="0.25">
      <c r="A31" s="129">
        <v>475.14</v>
      </c>
      <c r="B31" s="68"/>
      <c r="C31" s="69" t="s">
        <v>12</v>
      </c>
      <c r="D31" s="69"/>
      <c r="E31" s="338">
        <v>700</v>
      </c>
      <c r="F31" s="71"/>
      <c r="G31" s="49"/>
      <c r="H31" s="69"/>
      <c r="I31" s="336" t="e">
        <f>'Bank Account'!#REF!</f>
        <v>#REF!</v>
      </c>
      <c r="J31" s="337" t="e">
        <f t="shared" si="1"/>
        <v>#REF!</v>
      </c>
    </row>
    <row r="32" spans="1:10" ht="15.75" x14ac:dyDescent="0.25">
      <c r="A32" s="129">
        <v>461.33</v>
      </c>
      <c r="B32" s="68"/>
      <c r="C32" s="69" t="s">
        <v>178</v>
      </c>
      <c r="D32" s="69"/>
      <c r="E32" s="338">
        <v>210</v>
      </c>
      <c r="F32" s="71"/>
      <c r="G32" s="72"/>
      <c r="H32" s="69"/>
      <c r="I32" s="336" t="e">
        <f>'Bank Account'!#REF!</f>
        <v>#REF!</v>
      </c>
      <c r="J32" s="337" t="e">
        <f t="shared" si="1"/>
        <v>#REF!</v>
      </c>
    </row>
    <row r="33" spans="1:10" ht="15.75" x14ac:dyDescent="0.25">
      <c r="A33" s="129">
        <v>180</v>
      </c>
      <c r="B33" s="68"/>
      <c r="C33" s="69" t="s">
        <v>73</v>
      </c>
      <c r="D33" s="69"/>
      <c r="E33" s="342">
        <v>140</v>
      </c>
      <c r="F33" s="71"/>
      <c r="G33" s="72"/>
      <c r="H33" s="69"/>
      <c r="I33" s="336" t="e">
        <f>'Bank Account'!#REF!</f>
        <v>#REF!</v>
      </c>
      <c r="J33" s="337" t="e">
        <f t="shared" si="1"/>
        <v>#REF!</v>
      </c>
    </row>
    <row r="34" spans="1:10" ht="15.75" x14ac:dyDescent="0.25">
      <c r="A34" s="129">
        <v>1100</v>
      </c>
      <c r="B34" s="68"/>
      <c r="C34" s="69" t="s">
        <v>179</v>
      </c>
      <c r="D34" s="69"/>
      <c r="E34" s="338">
        <v>1100</v>
      </c>
      <c r="F34" s="71"/>
      <c r="G34" s="72"/>
      <c r="H34" s="69"/>
      <c r="I34" s="336" t="e">
        <f>'Bank Account'!#REF!</f>
        <v>#REF!</v>
      </c>
      <c r="J34" s="337" t="e">
        <f t="shared" si="1"/>
        <v>#REF!</v>
      </c>
    </row>
    <row r="35" spans="1:10" ht="15.75" x14ac:dyDescent="0.25">
      <c r="A35" s="129">
        <v>680.05</v>
      </c>
      <c r="B35" s="68"/>
      <c r="C35" s="69" t="s">
        <v>13</v>
      </c>
      <c r="D35" s="69"/>
      <c r="E35" s="338">
        <v>700</v>
      </c>
      <c r="F35" s="71"/>
      <c r="G35" s="72"/>
      <c r="H35" s="69"/>
      <c r="I35" s="336" t="e">
        <f>'Bank Account'!#REF!</f>
        <v>#REF!</v>
      </c>
      <c r="J35" s="337" t="e">
        <f t="shared" si="1"/>
        <v>#REF!</v>
      </c>
    </row>
    <row r="36" spans="1:10" ht="15.75" x14ac:dyDescent="0.25">
      <c r="A36" s="129">
        <v>105</v>
      </c>
      <c r="B36" s="68"/>
      <c r="C36" s="69" t="s">
        <v>181</v>
      </c>
      <c r="D36" s="69"/>
      <c r="E36" s="338">
        <v>120</v>
      </c>
      <c r="F36" s="71"/>
      <c r="G36" s="72"/>
      <c r="H36" s="69"/>
      <c r="I36" s="336" t="e">
        <f>'Bank Account'!#REF!</f>
        <v>#REF!</v>
      </c>
      <c r="J36" s="337" t="e">
        <f t="shared" si="1"/>
        <v>#REF!</v>
      </c>
    </row>
    <row r="37" spans="1:10" ht="15.75" x14ac:dyDescent="0.25">
      <c r="A37" s="129">
        <v>3456.72</v>
      </c>
      <c r="B37" s="68"/>
      <c r="C37" s="69" t="s">
        <v>182</v>
      </c>
      <c r="D37" s="69"/>
      <c r="E37" s="338">
        <v>750</v>
      </c>
      <c r="F37" s="71"/>
      <c r="G37" s="67" t="s">
        <v>366</v>
      </c>
      <c r="H37" s="69"/>
      <c r="I37" s="336" t="e">
        <f>'Bank Account'!#REF!</f>
        <v>#REF!</v>
      </c>
      <c r="J37" s="337" t="e">
        <f t="shared" si="1"/>
        <v>#REF!</v>
      </c>
    </row>
    <row r="38" spans="1:10" ht="15.75" x14ac:dyDescent="0.25">
      <c r="A38" s="129">
        <v>475</v>
      </c>
      <c r="B38" s="68"/>
      <c r="C38" s="69" t="s">
        <v>183</v>
      </c>
      <c r="D38" s="69"/>
      <c r="E38" s="338">
        <v>200</v>
      </c>
      <c r="F38" s="71"/>
      <c r="G38" s="72"/>
      <c r="H38" s="69"/>
      <c r="I38" s="336" t="e">
        <f>'Bank Account'!#REF!</f>
        <v>#REF!</v>
      </c>
      <c r="J38" s="337" t="e">
        <f t="shared" si="1"/>
        <v>#REF!</v>
      </c>
    </row>
    <row r="39" spans="1:10" ht="15.75" x14ac:dyDescent="0.25">
      <c r="A39" s="129">
        <v>0</v>
      </c>
      <c r="B39" s="68"/>
      <c r="C39" s="69" t="s">
        <v>184</v>
      </c>
      <c r="D39" s="69"/>
      <c r="E39" s="338">
        <v>50</v>
      </c>
      <c r="F39" s="71"/>
      <c r="G39" s="72"/>
      <c r="H39" s="69"/>
      <c r="I39" s="336" t="e">
        <f>'Bank Account'!#REF!</f>
        <v>#REF!</v>
      </c>
      <c r="J39" s="337" t="e">
        <f t="shared" si="1"/>
        <v>#REF!</v>
      </c>
    </row>
    <row r="40" spans="1:10" ht="15.75" x14ac:dyDescent="0.25">
      <c r="A40" s="129">
        <v>2056.16</v>
      </c>
      <c r="B40" s="68"/>
      <c r="C40" s="69" t="s">
        <v>185</v>
      </c>
      <c r="D40" s="69"/>
      <c r="E40" s="338">
        <v>1200</v>
      </c>
      <c r="F40" s="71"/>
      <c r="G40" s="72"/>
      <c r="H40" s="69"/>
      <c r="I40" s="336" t="e">
        <f>'Bank Account'!#REF!</f>
        <v>#REF!</v>
      </c>
      <c r="J40" s="337" t="e">
        <f t="shared" si="1"/>
        <v>#REF!</v>
      </c>
    </row>
    <row r="41" spans="1:10" ht="15.75" x14ac:dyDescent="0.25">
      <c r="A41" s="129">
        <v>0</v>
      </c>
      <c r="B41" s="68"/>
      <c r="C41" s="69" t="s">
        <v>186</v>
      </c>
      <c r="D41" s="69"/>
      <c r="E41" s="338">
        <v>140</v>
      </c>
      <c r="F41" s="71"/>
      <c r="G41" s="72"/>
      <c r="H41" s="69"/>
      <c r="I41" s="336" t="e">
        <f>'Bank Account'!#REF!</f>
        <v>#REF!</v>
      </c>
      <c r="J41" s="337" t="e">
        <f t="shared" si="1"/>
        <v>#REF!</v>
      </c>
    </row>
    <row r="42" spans="1:10" ht="15.75" x14ac:dyDescent="0.25">
      <c r="A42" s="129">
        <v>64</v>
      </c>
      <c r="B42" s="68"/>
      <c r="C42" s="69" t="s">
        <v>96</v>
      </c>
      <c r="D42" s="69"/>
      <c r="E42" s="338">
        <v>500</v>
      </c>
      <c r="F42" s="71"/>
      <c r="G42" s="72"/>
      <c r="H42" s="69"/>
      <c r="I42" s="336" t="e">
        <f>'Bank Account'!#REF!</f>
        <v>#REF!</v>
      </c>
      <c r="J42" s="337" t="e">
        <f t="shared" si="1"/>
        <v>#REF!</v>
      </c>
    </row>
    <row r="43" spans="1:10" ht="15.75" x14ac:dyDescent="0.25">
      <c r="A43" s="129"/>
      <c r="B43" s="68"/>
      <c r="C43" s="69" t="s">
        <v>324</v>
      </c>
      <c r="D43" s="69"/>
      <c r="E43" s="338"/>
      <c r="F43" s="71"/>
      <c r="G43" s="72" t="s">
        <v>337</v>
      </c>
      <c r="H43" s="69"/>
      <c r="I43" s="336" t="e">
        <f>'Bank Account'!#REF!+'Bank Account'!F21</f>
        <v>#REF!</v>
      </c>
      <c r="J43" s="337" t="e">
        <f t="shared" si="1"/>
        <v>#REF!</v>
      </c>
    </row>
    <row r="44" spans="1:10" ht="15.75" x14ac:dyDescent="0.25">
      <c r="A44" s="129">
        <v>0</v>
      </c>
      <c r="B44" s="68"/>
      <c r="C44" s="69" t="s">
        <v>52</v>
      </c>
      <c r="D44" s="69"/>
      <c r="E44" s="338">
        <v>300</v>
      </c>
      <c r="F44" s="71"/>
      <c r="G44" s="72"/>
      <c r="H44" s="69"/>
      <c r="I44" s="336" t="e">
        <f>'Bank Account'!#REF!</f>
        <v>#REF!</v>
      </c>
      <c r="J44" s="337" t="e">
        <f t="shared" si="1"/>
        <v>#REF!</v>
      </c>
    </row>
    <row r="45" spans="1:10" ht="31.5" x14ac:dyDescent="0.25">
      <c r="A45" s="343" t="s">
        <v>297</v>
      </c>
      <c r="B45" s="68"/>
      <c r="C45" s="69" t="s">
        <v>175</v>
      </c>
      <c r="D45" s="69"/>
      <c r="E45" s="344">
        <v>0</v>
      </c>
      <c r="F45" s="71"/>
      <c r="G45" s="72"/>
      <c r="H45" s="69"/>
      <c r="I45" s="336" t="e">
        <f>'Bank Account'!#REF!</f>
        <v>#REF!</v>
      </c>
      <c r="J45" s="337" t="e">
        <f t="shared" si="1"/>
        <v>#REF!</v>
      </c>
    </row>
    <row r="46" spans="1:10" ht="15.75" x14ac:dyDescent="0.25">
      <c r="A46" s="345">
        <v>0</v>
      </c>
      <c r="B46" s="68"/>
      <c r="C46" s="69" t="s">
        <v>188</v>
      </c>
      <c r="D46" s="69"/>
      <c r="E46" s="344">
        <v>0</v>
      </c>
      <c r="F46" s="71"/>
      <c r="G46" s="72"/>
      <c r="H46" s="69"/>
      <c r="I46" s="336" t="e">
        <f>'Bank Account'!#REF!</f>
        <v>#REF!</v>
      </c>
      <c r="J46" s="337" t="e">
        <f t="shared" si="1"/>
        <v>#REF!</v>
      </c>
    </row>
    <row r="47" spans="1:10" ht="15.75" x14ac:dyDescent="0.25">
      <c r="A47" s="130">
        <f>SUM(A21:A46)</f>
        <v>19118.43</v>
      </c>
      <c r="B47" s="75"/>
      <c r="C47" s="76" t="s">
        <v>53</v>
      </c>
      <c r="D47" s="76"/>
      <c r="E47" s="86">
        <f>SUM(E21:E46)</f>
        <v>17336</v>
      </c>
      <c r="F47" s="78"/>
      <c r="G47" s="79"/>
      <c r="H47" s="75"/>
      <c r="I47" s="346" t="e">
        <f>SUM(I21:I46)</f>
        <v>#REF!</v>
      </c>
      <c r="J47" s="337" t="e">
        <f t="shared" si="1"/>
        <v>#REF!</v>
      </c>
    </row>
    <row r="48" spans="1:10" ht="15.75" x14ac:dyDescent="0.25">
      <c r="A48" s="131"/>
      <c r="B48" s="68"/>
      <c r="C48" s="87"/>
      <c r="D48" s="69"/>
      <c r="E48" s="70"/>
      <c r="F48" s="71"/>
      <c r="G48" s="72"/>
      <c r="H48" s="68"/>
      <c r="I48" s="88"/>
      <c r="J48" s="337" t="e">
        <f t="shared" si="1"/>
        <v>#DIV/0!</v>
      </c>
    </row>
    <row r="49" spans="1:21" ht="15.75" x14ac:dyDescent="0.25">
      <c r="A49" s="124">
        <f>A18</f>
        <v>20979.78</v>
      </c>
      <c r="B49" s="68"/>
      <c r="C49" s="69" t="s">
        <v>54</v>
      </c>
      <c r="D49" s="69"/>
      <c r="E49" s="70">
        <f>E18</f>
        <v>18290</v>
      </c>
      <c r="F49" s="71"/>
      <c r="G49" s="89" t="s">
        <v>55</v>
      </c>
      <c r="H49" s="68"/>
      <c r="I49" s="73" t="e">
        <f>I18</f>
        <v>#REF!</v>
      </c>
      <c r="J49" s="337"/>
    </row>
    <row r="50" spans="1:21" ht="15.75" x14ac:dyDescent="0.25">
      <c r="A50" s="132">
        <f>-A47</f>
        <v>-19118.43</v>
      </c>
      <c r="B50" s="68"/>
      <c r="C50" s="69" t="s">
        <v>56</v>
      </c>
      <c r="D50" s="69"/>
      <c r="E50" s="90">
        <f>-E47</f>
        <v>-17336</v>
      </c>
      <c r="F50" s="71"/>
      <c r="G50" s="89" t="s">
        <v>57</v>
      </c>
      <c r="H50" s="68"/>
      <c r="I50" s="91" t="e">
        <f>-I47</f>
        <v>#REF!</v>
      </c>
      <c r="J50" s="337"/>
    </row>
    <row r="51" spans="1:21" ht="16.5" thickBot="1" x14ac:dyDescent="0.3">
      <c r="A51" s="347">
        <f>SUM(A49:A50)</f>
        <v>1861.3499999999985</v>
      </c>
      <c r="B51" s="75"/>
      <c r="C51" s="76" t="s">
        <v>58</v>
      </c>
      <c r="D51" s="76"/>
      <c r="E51" s="348">
        <f>SUM(E49:E50)</f>
        <v>954</v>
      </c>
      <c r="F51" s="92"/>
      <c r="G51" s="89" t="s">
        <v>59</v>
      </c>
      <c r="H51" s="75"/>
      <c r="I51" s="349" t="e">
        <f>SUM(I49:I50)</f>
        <v>#REF!</v>
      </c>
      <c r="J51" s="337"/>
    </row>
    <row r="52" spans="1:21" ht="9" customHeight="1" thickTop="1" thickBot="1" x14ac:dyDescent="0.3">
      <c r="A52" s="133"/>
      <c r="B52" s="94"/>
      <c r="C52" s="94"/>
      <c r="D52" s="94"/>
      <c r="E52" s="95"/>
      <c r="F52" s="96"/>
      <c r="G52" s="97"/>
      <c r="H52" s="94"/>
      <c r="I52" s="93"/>
      <c r="J52" s="350"/>
    </row>
    <row r="53" spans="1:21" ht="15.75" x14ac:dyDescent="0.25">
      <c r="A53" s="134">
        <v>45382</v>
      </c>
      <c r="B53" s="68"/>
      <c r="C53" s="68"/>
      <c r="D53" s="68"/>
      <c r="E53" s="71"/>
      <c r="F53" s="99"/>
      <c r="G53" s="100" t="s">
        <v>60</v>
      </c>
      <c r="H53" s="68"/>
      <c r="I53" s="98">
        <f>SUM('Bank Recon'!B8)</f>
        <v>45747</v>
      </c>
      <c r="J53" s="330"/>
    </row>
    <row r="54" spans="1:21" ht="15.75" x14ac:dyDescent="0.25">
      <c r="A54" s="135">
        <f>SUM('[1]Bank Recon'!D29)</f>
        <v>15752.33</v>
      </c>
      <c r="B54" s="68"/>
      <c r="C54" s="68"/>
      <c r="D54" s="68"/>
      <c r="E54" s="71"/>
      <c r="F54" s="99"/>
      <c r="G54" s="69" t="s">
        <v>24</v>
      </c>
      <c r="H54" s="68"/>
      <c r="I54" s="101">
        <f>SUM('Bank Recon'!C10)</f>
        <v>1322.06</v>
      </c>
      <c r="J54" s="330"/>
    </row>
    <row r="55" spans="1:21" ht="15.75" x14ac:dyDescent="0.25">
      <c r="A55" s="136"/>
      <c r="B55" s="68"/>
      <c r="C55" s="68"/>
      <c r="D55" s="68"/>
      <c r="E55" s="71"/>
      <c r="F55" s="99"/>
      <c r="G55" s="69" t="s">
        <v>193</v>
      </c>
      <c r="H55" s="68"/>
      <c r="I55" s="112">
        <f>SUM('Bank Recon'!C11)</f>
        <v>3491.16</v>
      </c>
      <c r="J55" s="330"/>
    </row>
    <row r="56" spans="1:21" ht="15.75" x14ac:dyDescent="0.25">
      <c r="A56" s="136"/>
      <c r="B56" s="68"/>
      <c r="C56" s="68"/>
      <c r="D56" s="68"/>
      <c r="E56" s="71"/>
      <c r="F56" s="99"/>
      <c r="G56" s="69" t="s">
        <v>204</v>
      </c>
      <c r="H56" s="68"/>
      <c r="I56" s="112">
        <f>SUM('Bank Recon'!C12)</f>
        <v>7645.29</v>
      </c>
      <c r="J56" s="330"/>
    </row>
    <row r="57" spans="1:21" ht="15.75" x14ac:dyDescent="0.25">
      <c r="A57" s="137">
        <v>0</v>
      </c>
      <c r="B57" s="68"/>
      <c r="C57" s="68" t="s">
        <v>61</v>
      </c>
      <c r="D57" s="68"/>
      <c r="E57" s="71"/>
      <c r="F57" s="99"/>
      <c r="G57" s="69" t="s">
        <v>62</v>
      </c>
      <c r="H57" s="68"/>
      <c r="I57" s="102">
        <v>0</v>
      </c>
      <c r="J57" s="330"/>
    </row>
    <row r="58" spans="1:21" s="108" customFormat="1" ht="15.75" x14ac:dyDescent="0.25">
      <c r="A58" s="138">
        <v>0</v>
      </c>
      <c r="B58" s="104"/>
      <c r="C58" s="104" t="s">
        <v>63</v>
      </c>
      <c r="D58" s="104"/>
      <c r="E58" s="105"/>
      <c r="F58" s="106"/>
      <c r="G58" s="107" t="s">
        <v>64</v>
      </c>
      <c r="H58" s="104"/>
      <c r="I58" s="103">
        <v>0</v>
      </c>
      <c r="J58" s="351"/>
      <c r="L58"/>
      <c r="M58"/>
      <c r="N58"/>
      <c r="O58"/>
      <c r="P58"/>
      <c r="Q58"/>
      <c r="R58"/>
      <c r="S58"/>
      <c r="T58"/>
      <c r="U58"/>
    </row>
    <row r="59" spans="1:21" ht="15.75" customHeight="1" thickBot="1" x14ac:dyDescent="0.3">
      <c r="A59" s="139">
        <f>SUM(A54:A58)</f>
        <v>15752.33</v>
      </c>
      <c r="B59" s="68"/>
      <c r="C59" s="68" t="s">
        <v>65</v>
      </c>
      <c r="D59" s="68"/>
      <c r="E59" s="71"/>
      <c r="F59" s="99"/>
      <c r="G59" s="69" t="s">
        <v>66</v>
      </c>
      <c r="H59" s="68"/>
      <c r="I59" s="109">
        <f>SUM(I54:I58)</f>
        <v>12458.509999999998</v>
      </c>
      <c r="J59" s="330"/>
    </row>
    <row r="60" spans="1:21" ht="16.5" thickTop="1" x14ac:dyDescent="0.25">
      <c r="A60" s="140"/>
      <c r="B60" s="68"/>
      <c r="C60" s="68"/>
      <c r="D60" s="68"/>
      <c r="E60" s="71"/>
      <c r="F60" s="99"/>
      <c r="G60" s="69"/>
      <c r="H60" s="68"/>
      <c r="I60" s="110"/>
      <c r="J60" s="330"/>
    </row>
    <row r="61" spans="1:21" ht="15.75" x14ac:dyDescent="0.25">
      <c r="A61" s="140" t="s">
        <v>68</v>
      </c>
      <c r="B61" s="68"/>
      <c r="C61" s="75" t="s">
        <v>67</v>
      </c>
      <c r="D61" s="68"/>
      <c r="E61" s="71"/>
      <c r="F61" s="99"/>
      <c r="G61" s="76" t="s">
        <v>67</v>
      </c>
      <c r="H61" s="68"/>
      <c r="I61" s="352" t="s">
        <v>298</v>
      </c>
      <c r="J61" s="330"/>
    </row>
    <row r="62" spans="1:21" ht="15.75" x14ac:dyDescent="0.25">
      <c r="A62" s="141">
        <v>200</v>
      </c>
      <c r="B62" s="68"/>
      <c r="C62" s="68" t="s">
        <v>70</v>
      </c>
      <c r="D62" s="68"/>
      <c r="E62" s="71"/>
      <c r="F62" s="99"/>
      <c r="G62" s="69" t="s">
        <v>299</v>
      </c>
      <c r="H62" s="68"/>
      <c r="I62" s="353">
        <v>25</v>
      </c>
      <c r="J62" s="330"/>
    </row>
    <row r="63" spans="1:21" ht="15.75" x14ac:dyDescent="0.25">
      <c r="A63" s="141">
        <v>275</v>
      </c>
      <c r="C63" s="68" t="s">
        <v>300</v>
      </c>
      <c r="D63" s="68"/>
      <c r="E63" s="71"/>
      <c r="F63" s="99"/>
      <c r="G63" s="68" t="s">
        <v>451</v>
      </c>
      <c r="H63" s="68"/>
      <c r="I63" s="111">
        <v>300</v>
      </c>
      <c r="J63" s="330"/>
    </row>
    <row r="64" spans="1:21" ht="15.75" x14ac:dyDescent="0.25">
      <c r="A64" s="142">
        <f>SUM(A62:A63)</f>
        <v>475</v>
      </c>
      <c r="B64" s="115"/>
      <c r="C64" s="116"/>
      <c r="D64" s="115"/>
      <c r="E64" s="117"/>
      <c r="F64" s="118"/>
      <c r="G64" s="119" t="s">
        <v>69</v>
      </c>
      <c r="H64" s="115"/>
      <c r="I64" s="354">
        <f>SUM(I62:I63)</f>
        <v>325</v>
      </c>
      <c r="J64" s="355"/>
    </row>
    <row r="65" spans="1:9" x14ac:dyDescent="0.25">
      <c r="A65" s="356"/>
      <c r="B65" s="356"/>
      <c r="C65" s="356"/>
      <c r="D65" s="356"/>
      <c r="E65" s="356"/>
      <c r="F65" s="356"/>
      <c r="G65" s="356"/>
      <c r="H65" s="356"/>
      <c r="I65" s="356"/>
    </row>
    <row r="66" spans="1:9" x14ac:dyDescent="0.25">
      <c r="A66" s="356"/>
      <c r="B66" s="356"/>
      <c r="C66" s="356"/>
      <c r="D66" s="356"/>
      <c r="E66" s="356"/>
      <c r="F66" s="356"/>
      <c r="G66" s="356"/>
      <c r="H66" s="356"/>
      <c r="I66" s="356"/>
    </row>
  </sheetData>
  <mergeCells count="2">
    <mergeCell ref="A1:J1"/>
    <mergeCell ref="J3:J5"/>
  </mergeCells>
  <conditionalFormatting sqref="J6:J17">
    <cfRule type="cellIs" dxfId="37" priority="4" operator="between">
      <formula>0</formula>
      <formula>0.74</formula>
    </cfRule>
    <cfRule type="cellIs" dxfId="36" priority="5" operator="between">
      <formula>0.75</formula>
      <formula>0.99</formula>
    </cfRule>
    <cfRule type="cellIs" dxfId="35" priority="6" operator="greaterThan">
      <formula>1</formula>
    </cfRule>
  </conditionalFormatting>
  <conditionalFormatting sqref="J21:J48">
    <cfRule type="cellIs" dxfId="34" priority="1" operator="between">
      <formula>0</formula>
      <formula>0.74</formula>
    </cfRule>
    <cfRule type="cellIs" dxfId="33" priority="2" operator="between">
      <formula>0.75</formula>
      <formula>0.99</formula>
    </cfRule>
    <cfRule type="cellIs" dxfId="32" priority="3" operator="greaterThan">
      <formula>1</formula>
    </cfRule>
  </conditionalFormatting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CFDFA-E10E-4987-BBAE-8DAEE1B95A37}">
  <sheetPr>
    <tabColor rgb="FFFF0000"/>
  </sheetPr>
  <dimension ref="A1:F24"/>
  <sheetViews>
    <sheetView workbookViewId="0">
      <selection activeCell="O15" sqref="O15"/>
    </sheetView>
  </sheetViews>
  <sheetFormatPr defaultRowHeight="15" x14ac:dyDescent="0.25"/>
  <cols>
    <col min="1" max="1" width="22.7109375" customWidth="1"/>
    <col min="2" max="2" width="14.28515625" bestFit="1" customWidth="1"/>
    <col min="3" max="6" width="20.140625" customWidth="1"/>
  </cols>
  <sheetData>
    <row r="1" spans="1:6" x14ac:dyDescent="0.25">
      <c r="A1" s="312" t="s">
        <v>293</v>
      </c>
      <c r="B1" s="209"/>
      <c r="C1" s="209"/>
      <c r="D1" s="209"/>
      <c r="E1" s="209"/>
      <c r="F1" s="209"/>
    </row>
    <row r="2" spans="1:6" x14ac:dyDescent="0.25">
      <c r="A2" s="209"/>
      <c r="B2" s="209"/>
      <c r="C2" s="209"/>
      <c r="D2" s="209"/>
      <c r="E2" s="209"/>
      <c r="F2" s="209"/>
    </row>
    <row r="3" spans="1:6" x14ac:dyDescent="0.25">
      <c r="A3" s="209" t="s">
        <v>89</v>
      </c>
      <c r="B3" s="313">
        <f>SUM('Bank Recon'!C10)</f>
        <v>1322.06</v>
      </c>
      <c r="C3" s="209"/>
      <c r="D3" s="209"/>
      <c r="E3" s="209"/>
      <c r="F3" s="209"/>
    </row>
    <row r="4" spans="1:6" x14ac:dyDescent="0.25">
      <c r="A4" s="209" t="s">
        <v>193</v>
      </c>
      <c r="B4" s="313">
        <f>SUM('Bank Recon'!C11)</f>
        <v>3491.16</v>
      </c>
      <c r="C4" s="209"/>
      <c r="D4" s="209"/>
      <c r="E4" s="209"/>
      <c r="F4" s="209"/>
    </row>
    <row r="5" spans="1:6" x14ac:dyDescent="0.25">
      <c r="A5" s="209" t="s">
        <v>204</v>
      </c>
      <c r="B5" s="313">
        <f>SUM('Bank Recon'!C12)</f>
        <v>7645.29</v>
      </c>
      <c r="C5" s="209"/>
      <c r="D5" s="209"/>
      <c r="E5" s="209"/>
      <c r="F5" s="209"/>
    </row>
    <row r="6" spans="1:6" x14ac:dyDescent="0.25">
      <c r="A6" s="209" t="s">
        <v>94</v>
      </c>
      <c r="B6" s="313">
        <f>SUM(B3:B5)</f>
        <v>12458.509999999998</v>
      </c>
      <c r="C6" s="209"/>
      <c r="D6" s="209"/>
      <c r="E6" s="209"/>
      <c r="F6" s="209"/>
    </row>
    <row r="7" spans="1:6" ht="18.75" x14ac:dyDescent="0.3">
      <c r="A7" s="380" t="s">
        <v>196</v>
      </c>
      <c r="B7" s="380"/>
      <c r="C7" s="209"/>
      <c r="D7" s="209"/>
      <c r="E7" s="209"/>
      <c r="F7" s="209"/>
    </row>
    <row r="8" spans="1:6" x14ac:dyDescent="0.25">
      <c r="A8" s="209"/>
      <c r="B8" s="209"/>
      <c r="C8" s="209"/>
      <c r="D8" s="209"/>
      <c r="E8" s="209"/>
      <c r="F8" s="209"/>
    </row>
    <row r="9" spans="1:6" x14ac:dyDescent="0.25">
      <c r="A9" s="209"/>
      <c r="B9" s="209"/>
      <c r="C9" s="314" t="s">
        <v>98</v>
      </c>
      <c r="D9" s="314" t="s">
        <v>100</v>
      </c>
      <c r="E9" s="314" t="s">
        <v>99</v>
      </c>
      <c r="F9" s="314" t="s">
        <v>101</v>
      </c>
    </row>
    <row r="10" spans="1:6" x14ac:dyDescent="0.25">
      <c r="A10" s="381" t="s">
        <v>95</v>
      </c>
      <c r="B10" s="382"/>
      <c r="C10" s="382"/>
      <c r="D10" s="382"/>
      <c r="E10" s="382"/>
      <c r="F10" s="382"/>
    </row>
    <row r="11" spans="1:6" x14ac:dyDescent="0.25">
      <c r="A11" s="145" t="s">
        <v>90</v>
      </c>
      <c r="B11" s="153">
        <v>1450</v>
      </c>
      <c r="C11" s="155">
        <f>SUM(B11-D11)</f>
        <v>1450</v>
      </c>
      <c r="D11" s="155"/>
      <c r="E11" s="1"/>
      <c r="F11" s="1"/>
    </row>
    <row r="12" spans="1:6" x14ac:dyDescent="0.25">
      <c r="A12" s="145" t="s">
        <v>71</v>
      </c>
      <c r="B12" s="153">
        <v>550</v>
      </c>
      <c r="C12" s="155">
        <f>SUM(B12-D12)</f>
        <v>550</v>
      </c>
      <c r="D12" s="155"/>
      <c r="E12" s="1"/>
      <c r="F12" s="1"/>
    </row>
    <row r="13" spans="1:6" x14ac:dyDescent="0.25">
      <c r="A13" s="146" t="s">
        <v>91</v>
      </c>
      <c r="B13" s="150">
        <f t="shared" ref="B13" si="0">SUM(B11:B12)</f>
        <v>2000</v>
      </c>
      <c r="C13" s="155">
        <f>SUM(C11:C12)</f>
        <v>2000</v>
      </c>
      <c r="D13" s="155"/>
      <c r="E13" s="1"/>
      <c r="F13" s="1"/>
    </row>
    <row r="14" spans="1:6" x14ac:dyDescent="0.25">
      <c r="A14" s="383" t="s">
        <v>96</v>
      </c>
      <c r="B14" s="384"/>
      <c r="C14" s="384"/>
      <c r="D14" s="384"/>
      <c r="E14" s="384"/>
      <c r="F14" s="385"/>
    </row>
    <row r="15" spans="1:6" x14ac:dyDescent="0.25">
      <c r="A15" s="147" t="s">
        <v>92</v>
      </c>
      <c r="B15" s="154">
        <v>2000</v>
      </c>
      <c r="C15" s="155">
        <f>SUM(B15-D15)</f>
        <v>2000</v>
      </c>
      <c r="D15" s="155"/>
      <c r="E15" s="1"/>
      <c r="F15" s="1"/>
    </row>
    <row r="16" spans="1:6" x14ac:dyDescent="0.25">
      <c r="A16" s="147" t="s">
        <v>93</v>
      </c>
      <c r="B16" s="154">
        <v>1000</v>
      </c>
      <c r="C16" s="155">
        <f>SUM(B16-D16)</f>
        <v>1000</v>
      </c>
      <c r="D16" s="155"/>
      <c r="E16" s="1"/>
      <c r="F16" s="1"/>
    </row>
    <row r="17" spans="1:6" x14ac:dyDescent="0.25">
      <c r="A17" s="148" t="s">
        <v>91</v>
      </c>
      <c r="B17" s="151">
        <f t="shared" ref="B17" si="1">SUM(B15:B16)</f>
        <v>3000</v>
      </c>
      <c r="C17" s="155">
        <f>SUM(C15:C16)</f>
        <v>3000</v>
      </c>
      <c r="D17" s="155"/>
      <c r="E17" s="1"/>
      <c r="F17" s="1"/>
    </row>
    <row r="18" spans="1:6" x14ac:dyDescent="0.25">
      <c r="A18" s="315" t="s">
        <v>294</v>
      </c>
      <c r="B18" s="316">
        <f>SUM(B17,B13)</f>
        <v>5000</v>
      </c>
      <c r="C18" s="317"/>
      <c r="D18" s="317"/>
      <c r="E18" s="318"/>
      <c r="F18" s="319"/>
    </row>
    <row r="19" spans="1:6" x14ac:dyDescent="0.25">
      <c r="A19" s="377" t="s">
        <v>97</v>
      </c>
      <c r="B19" s="378"/>
      <c r="C19" s="378"/>
      <c r="D19" s="378"/>
      <c r="E19" s="378"/>
      <c r="F19" s="379"/>
    </row>
    <row r="20" spans="1:6" x14ac:dyDescent="0.25">
      <c r="A20" s="149" t="s">
        <v>193</v>
      </c>
      <c r="B20" s="152">
        <f>SUM(B4)</f>
        <v>3491.16</v>
      </c>
      <c r="C20" s="155">
        <f>SUM(B20-D20)</f>
        <v>3491.16</v>
      </c>
      <c r="D20" s="155"/>
      <c r="E20" s="1"/>
      <c r="F20" s="1"/>
    </row>
    <row r="21" spans="1:6" x14ac:dyDescent="0.25">
      <c r="A21" s="149" t="s">
        <v>126</v>
      </c>
      <c r="B21" s="152">
        <v>266.08999999999997</v>
      </c>
      <c r="C21" s="155">
        <f t="shared" ref="C21:C22" si="2">SUM(B21-D21)</f>
        <v>236.08999999999997</v>
      </c>
      <c r="D21" s="362">
        <v>30</v>
      </c>
      <c r="E21" s="155" t="s">
        <v>438</v>
      </c>
      <c r="F21" s="155" t="s">
        <v>436</v>
      </c>
    </row>
    <row r="22" spans="1:6" ht="60" x14ac:dyDescent="0.25">
      <c r="A22" s="149" t="s">
        <v>204</v>
      </c>
      <c r="B22" s="320">
        <f>SUM(B5)</f>
        <v>7645.29</v>
      </c>
      <c r="C22" s="155">
        <f t="shared" si="2"/>
        <v>2932.3900000000003</v>
      </c>
      <c r="D22" s="155">
        <v>4712.8999999999996</v>
      </c>
      <c r="E22" s="361" t="s">
        <v>429</v>
      </c>
      <c r="F22" s="361" t="s">
        <v>430</v>
      </c>
    </row>
    <row r="23" spans="1:6" x14ac:dyDescent="0.25">
      <c r="A23" s="321" t="s">
        <v>91</v>
      </c>
      <c r="B23" s="322">
        <f>SUM(B20:B22)</f>
        <v>11402.54</v>
      </c>
      <c r="C23" s="323">
        <f>SUM(C20:C22)</f>
        <v>6659.64</v>
      </c>
      <c r="D23" s="155"/>
      <c r="E23" s="155"/>
      <c r="F23" s="155"/>
    </row>
    <row r="24" spans="1:6" x14ac:dyDescent="0.25">
      <c r="A24" s="324" t="s">
        <v>94</v>
      </c>
      <c r="B24" s="325">
        <f>SUM(B13,B17,B23)</f>
        <v>16402.54</v>
      </c>
      <c r="C24" s="325">
        <f>SUM(C13,C17,C23)</f>
        <v>11659.64</v>
      </c>
      <c r="D24" s="155"/>
      <c r="E24" s="155"/>
      <c r="F24" s="155"/>
    </row>
  </sheetData>
  <mergeCells count="4">
    <mergeCell ref="A19:F19"/>
    <mergeCell ref="A7:B7"/>
    <mergeCell ref="A10:F10"/>
    <mergeCell ref="A14:F14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DE156"/>
  <sheetViews>
    <sheetView tabSelected="1" zoomScale="90" zoomScaleNormal="90" workbookViewId="0">
      <pane ySplit="3" topLeftCell="A4" activePane="bottomLeft" state="frozen"/>
      <selection activeCell="F1" sqref="F1"/>
      <selection pane="bottomLeft" activeCell="G53" sqref="G53"/>
    </sheetView>
  </sheetViews>
  <sheetFormatPr defaultColWidth="9.140625" defaultRowHeight="15" customHeight="1" x14ac:dyDescent="0.25"/>
  <cols>
    <col min="1" max="1" width="12.7109375" style="366" customWidth="1"/>
    <col min="2" max="2" width="25.85546875" style="310" customWidth="1"/>
    <col min="3" max="3" width="31.42578125" style="241" customWidth="1"/>
    <col min="4" max="4" width="27.42578125" style="241" customWidth="1"/>
    <col min="5" max="5" width="11.42578125" style="242" customWidth="1"/>
    <col min="6" max="6" width="11.42578125" style="243" customWidth="1"/>
    <col min="7" max="8" width="11.42578125" style="242" customWidth="1"/>
    <col min="9" max="16384" width="9.140625" style="241"/>
  </cols>
  <sheetData>
    <row r="1" spans="1:8" ht="15" customHeight="1" x14ac:dyDescent="0.25">
      <c r="A1" s="365" t="s">
        <v>8</v>
      </c>
      <c r="B1" s="311"/>
    </row>
    <row r="2" spans="1:8" ht="15.75" customHeight="1" x14ac:dyDescent="0.25">
      <c r="A2" s="365"/>
      <c r="B2" s="311"/>
    </row>
    <row r="3" spans="1:8" ht="75" customHeight="1" x14ac:dyDescent="0.25">
      <c r="A3" s="244" t="s">
        <v>0</v>
      </c>
      <c r="B3" s="244" t="s">
        <v>1</v>
      </c>
      <c r="C3" s="244" t="s">
        <v>9</v>
      </c>
      <c r="D3" s="244" t="s">
        <v>10</v>
      </c>
      <c r="E3" s="245" t="s">
        <v>153</v>
      </c>
      <c r="F3" s="369" t="s">
        <v>15</v>
      </c>
      <c r="G3" s="245" t="s">
        <v>3</v>
      </c>
      <c r="H3" s="370" t="s">
        <v>4</v>
      </c>
    </row>
    <row r="4" spans="1:8" ht="15" customHeight="1" x14ac:dyDescent="0.25">
      <c r="F4" s="250"/>
      <c r="G4" s="251"/>
      <c r="H4" s="251"/>
    </row>
    <row r="5" spans="1:8" ht="15" customHeight="1" x14ac:dyDescent="0.25">
      <c r="A5" s="366" t="s">
        <v>0</v>
      </c>
      <c r="C5" s="241" t="s">
        <v>6</v>
      </c>
      <c r="D5" s="241" t="s">
        <v>10</v>
      </c>
      <c r="F5" s="250" t="s">
        <v>2</v>
      </c>
      <c r="G5" s="251" t="s">
        <v>3</v>
      </c>
      <c r="H5" s="251" t="s">
        <v>4</v>
      </c>
    </row>
    <row r="6" spans="1:8" ht="15.75" customHeight="1" x14ac:dyDescent="0.25">
      <c r="A6" s="367" t="s">
        <v>210</v>
      </c>
      <c r="B6" s="262">
        <v>366486</v>
      </c>
      <c r="C6" s="241" t="s">
        <v>211</v>
      </c>
      <c r="D6" s="241" t="s">
        <v>212</v>
      </c>
      <c r="E6" s="247"/>
      <c r="F6" s="273">
        <v>109.95</v>
      </c>
      <c r="G6" s="247">
        <v>18.329999999999998</v>
      </c>
      <c r="H6" s="242">
        <v>91.62</v>
      </c>
    </row>
    <row r="7" spans="1:8" ht="15" customHeight="1" x14ac:dyDescent="0.25">
      <c r="A7" s="367" t="s">
        <v>213</v>
      </c>
      <c r="B7" s="262"/>
      <c r="C7" s="241" t="s">
        <v>76</v>
      </c>
      <c r="D7" s="241" t="s">
        <v>221</v>
      </c>
      <c r="E7" s="251"/>
      <c r="F7" s="273">
        <v>8.4</v>
      </c>
      <c r="G7" s="247">
        <v>0</v>
      </c>
      <c r="H7" s="242">
        <f t="shared" ref="H7:H13" si="0">F7-G7</f>
        <v>8.4</v>
      </c>
    </row>
    <row r="8" spans="1:8" ht="15" customHeight="1" x14ac:dyDescent="0.25">
      <c r="A8" s="367" t="s">
        <v>213</v>
      </c>
      <c r="B8" s="262" t="s">
        <v>223</v>
      </c>
      <c r="C8" s="241" t="s">
        <v>474</v>
      </c>
      <c r="D8" s="241" t="s">
        <v>224</v>
      </c>
      <c r="F8" s="273">
        <v>17.78</v>
      </c>
      <c r="G8" s="247">
        <v>0</v>
      </c>
      <c r="H8" s="242">
        <f t="shared" si="0"/>
        <v>17.78</v>
      </c>
    </row>
    <row r="9" spans="1:8" ht="15" customHeight="1" x14ac:dyDescent="0.25">
      <c r="A9" s="367" t="s">
        <v>213</v>
      </c>
      <c r="B9" s="262">
        <v>1866</v>
      </c>
      <c r="C9" s="241" t="s">
        <v>480</v>
      </c>
      <c r="D9" s="241" t="s">
        <v>222</v>
      </c>
      <c r="F9" s="273">
        <v>70</v>
      </c>
      <c r="G9" s="247">
        <v>0</v>
      </c>
      <c r="H9" s="242">
        <f t="shared" si="0"/>
        <v>70</v>
      </c>
    </row>
    <row r="10" spans="1:8" ht="15.75" customHeight="1" x14ac:dyDescent="0.25">
      <c r="A10" s="367" t="s">
        <v>213</v>
      </c>
      <c r="B10" s="262">
        <v>2932327</v>
      </c>
      <c r="C10" s="241" t="s">
        <v>216</v>
      </c>
      <c r="D10" s="241" t="s">
        <v>217</v>
      </c>
      <c r="E10" s="247"/>
      <c r="F10" s="273">
        <v>153.6</v>
      </c>
      <c r="G10" s="247">
        <v>25.6</v>
      </c>
      <c r="H10" s="242">
        <f t="shared" si="0"/>
        <v>128</v>
      </c>
    </row>
    <row r="11" spans="1:8" ht="15" customHeight="1" x14ac:dyDescent="0.25">
      <c r="A11" s="367" t="s">
        <v>213</v>
      </c>
      <c r="B11" s="262">
        <v>1581</v>
      </c>
      <c r="C11" s="241" t="s">
        <v>480</v>
      </c>
      <c r="D11" s="241" t="s">
        <v>220</v>
      </c>
      <c r="E11" s="251"/>
      <c r="F11" s="273">
        <v>234.06</v>
      </c>
      <c r="G11" s="247">
        <v>0</v>
      </c>
      <c r="H11" s="242">
        <f t="shared" si="0"/>
        <v>234.06</v>
      </c>
    </row>
    <row r="12" spans="1:8" ht="15.75" customHeight="1" x14ac:dyDescent="0.25">
      <c r="A12" s="367" t="s">
        <v>213</v>
      </c>
      <c r="B12" s="262">
        <v>122</v>
      </c>
      <c r="C12" s="241" t="s">
        <v>214</v>
      </c>
      <c r="D12" s="241" t="s">
        <v>215</v>
      </c>
      <c r="E12" s="247"/>
      <c r="F12" s="273">
        <v>340.5</v>
      </c>
      <c r="G12" s="247">
        <v>49.09</v>
      </c>
      <c r="H12" s="242">
        <f t="shared" si="0"/>
        <v>291.40999999999997</v>
      </c>
    </row>
    <row r="13" spans="1:8" ht="15" customHeight="1" x14ac:dyDescent="0.25">
      <c r="A13" s="367" t="s">
        <v>213</v>
      </c>
      <c r="B13" s="262" t="s">
        <v>218</v>
      </c>
      <c r="C13" s="241" t="s">
        <v>475</v>
      </c>
      <c r="D13" s="241" t="s">
        <v>219</v>
      </c>
      <c r="E13" s="251"/>
      <c r="F13" s="273">
        <v>378</v>
      </c>
      <c r="G13" s="247">
        <v>0</v>
      </c>
      <c r="H13" s="242">
        <f t="shared" si="0"/>
        <v>378</v>
      </c>
    </row>
    <row r="14" spans="1:8" s="251" customFormat="1" ht="17.25" customHeight="1" x14ac:dyDescent="0.25">
      <c r="A14" s="368" t="s">
        <v>213</v>
      </c>
      <c r="B14" s="310"/>
      <c r="C14" s="242" t="s">
        <v>267</v>
      </c>
      <c r="D14" s="242" t="s">
        <v>268</v>
      </c>
      <c r="E14" s="251">
        <v>8.4</v>
      </c>
      <c r="F14" s="250"/>
      <c r="G14" s="251">
        <v>0</v>
      </c>
    </row>
    <row r="15" spans="1:8" s="251" customFormat="1" ht="15" customHeight="1" x14ac:dyDescent="0.25">
      <c r="A15" s="368" t="s">
        <v>225</v>
      </c>
      <c r="B15" s="310">
        <v>2931393</v>
      </c>
      <c r="C15" s="242" t="s">
        <v>216</v>
      </c>
      <c r="D15" s="242" t="s">
        <v>217</v>
      </c>
      <c r="F15" s="250">
        <v>76.8</v>
      </c>
      <c r="G15" s="251">
        <v>12.8</v>
      </c>
      <c r="H15" s="251">
        <f>F15-G15</f>
        <v>64</v>
      </c>
    </row>
    <row r="16" spans="1:8" s="251" customFormat="1" ht="15" customHeight="1" x14ac:dyDescent="0.25">
      <c r="A16" s="368" t="s">
        <v>269</v>
      </c>
      <c r="B16" s="310" t="s">
        <v>218</v>
      </c>
      <c r="C16" s="242" t="s">
        <v>170</v>
      </c>
      <c r="D16" s="242" t="s">
        <v>270</v>
      </c>
      <c r="E16" s="251">
        <v>32.020000000000003</v>
      </c>
      <c r="F16" s="250"/>
      <c r="G16" s="251">
        <v>0</v>
      </c>
    </row>
    <row r="17" spans="1:15" s="251" customFormat="1" ht="15" customHeight="1" x14ac:dyDescent="0.25">
      <c r="A17" s="368" t="s">
        <v>269</v>
      </c>
      <c r="B17" s="310"/>
      <c r="C17" s="242" t="s">
        <v>476</v>
      </c>
      <c r="D17" s="242" t="s">
        <v>74</v>
      </c>
      <c r="E17" s="251">
        <v>8000</v>
      </c>
      <c r="F17" s="250"/>
      <c r="G17" s="251">
        <v>0</v>
      </c>
    </row>
    <row r="18" spans="1:15" s="251" customFormat="1" ht="15" customHeight="1" x14ac:dyDescent="0.25">
      <c r="A18" s="368" t="s">
        <v>226</v>
      </c>
      <c r="B18" s="310" t="s">
        <v>223</v>
      </c>
      <c r="C18" s="242" t="s">
        <v>474</v>
      </c>
      <c r="D18" s="242" t="s">
        <v>75</v>
      </c>
      <c r="F18" s="250">
        <v>437.6</v>
      </c>
      <c r="G18" s="251">
        <v>0</v>
      </c>
      <c r="H18" s="251">
        <f>F18-G18</f>
        <v>437.6</v>
      </c>
    </row>
    <row r="19" spans="1:15" s="251" customFormat="1" ht="15" customHeight="1" x14ac:dyDescent="0.25">
      <c r="A19" s="368" t="s">
        <v>301</v>
      </c>
      <c r="B19" s="310"/>
      <c r="C19" s="242" t="s">
        <v>155</v>
      </c>
      <c r="D19" s="242" t="s">
        <v>302</v>
      </c>
      <c r="F19" s="250">
        <v>1967.42</v>
      </c>
      <c r="G19" s="251">
        <v>0</v>
      </c>
      <c r="H19" s="251">
        <v>1967.42</v>
      </c>
    </row>
    <row r="20" spans="1:15" ht="15" customHeight="1" x14ac:dyDescent="0.25">
      <c r="A20" s="260" t="s">
        <v>301</v>
      </c>
      <c r="B20" s="309"/>
      <c r="C20" s="310" t="s">
        <v>155</v>
      </c>
      <c r="D20" s="310" t="s">
        <v>302</v>
      </c>
      <c r="E20" s="242">
        <v>1967.42</v>
      </c>
      <c r="F20" s="250"/>
      <c r="G20" s="251">
        <v>0</v>
      </c>
      <c r="H20" s="251"/>
      <c r="I20" s="251"/>
      <c r="J20" s="244"/>
      <c r="K20" s="244"/>
      <c r="L20" s="245"/>
      <c r="M20" s="246"/>
      <c r="N20" s="246"/>
      <c r="O20" s="246"/>
    </row>
    <row r="21" spans="1:15" ht="15" customHeight="1" x14ac:dyDescent="0.25">
      <c r="A21" s="260" t="s">
        <v>227</v>
      </c>
      <c r="B21" s="309"/>
      <c r="C21" s="310" t="s">
        <v>155</v>
      </c>
      <c r="D21" s="310" t="s">
        <v>304</v>
      </c>
      <c r="F21" s="250">
        <v>2246.4</v>
      </c>
      <c r="G21" s="251">
        <v>0</v>
      </c>
      <c r="H21" s="251"/>
      <c r="I21" s="251"/>
      <c r="J21" s="244"/>
      <c r="K21" s="244"/>
      <c r="L21" s="245"/>
      <c r="M21" s="246"/>
      <c r="N21" s="246"/>
      <c r="O21" s="246"/>
    </row>
    <row r="22" spans="1:15" s="251" customFormat="1" ht="15" customHeight="1" x14ac:dyDescent="0.25">
      <c r="A22" s="368" t="s">
        <v>227</v>
      </c>
      <c r="B22" s="310" t="s">
        <v>231</v>
      </c>
      <c r="C22" s="242" t="s">
        <v>474</v>
      </c>
      <c r="D22" s="242" t="s">
        <v>82</v>
      </c>
      <c r="F22" s="250">
        <v>7.92</v>
      </c>
      <c r="G22" s="251">
        <v>0</v>
      </c>
      <c r="H22" s="251">
        <f>F22-G22</f>
        <v>7.92</v>
      </c>
    </row>
    <row r="23" spans="1:15" s="251" customFormat="1" ht="15" customHeight="1" x14ac:dyDescent="0.25">
      <c r="A23" s="368" t="s">
        <v>227</v>
      </c>
      <c r="B23" s="310">
        <v>2421</v>
      </c>
      <c r="C23" s="242" t="s">
        <v>232</v>
      </c>
      <c r="D23" s="242" t="s">
        <v>233</v>
      </c>
      <c r="F23" s="250">
        <v>65</v>
      </c>
      <c r="G23" s="251">
        <v>0</v>
      </c>
      <c r="H23" s="251">
        <f>F23-G23</f>
        <v>65</v>
      </c>
    </row>
    <row r="24" spans="1:15" s="251" customFormat="1" ht="15" customHeight="1" x14ac:dyDescent="0.25">
      <c r="A24" s="368" t="s">
        <v>227</v>
      </c>
      <c r="B24" s="310" t="s">
        <v>223</v>
      </c>
      <c r="C24" s="242" t="s">
        <v>475</v>
      </c>
      <c r="D24" s="242" t="s">
        <v>230</v>
      </c>
      <c r="F24" s="250">
        <v>419.75</v>
      </c>
      <c r="G24" s="251">
        <v>0</v>
      </c>
      <c r="H24" s="251">
        <f>F24-G24</f>
        <v>419.75</v>
      </c>
    </row>
    <row r="25" spans="1:15" s="251" customFormat="1" ht="15" customHeight="1" x14ac:dyDescent="0.25">
      <c r="A25" s="368" t="s">
        <v>227</v>
      </c>
      <c r="B25" s="310" t="s">
        <v>234</v>
      </c>
      <c r="C25" s="242" t="s">
        <v>235</v>
      </c>
      <c r="D25" s="242" t="s">
        <v>236</v>
      </c>
      <c r="F25" s="250">
        <v>784.92</v>
      </c>
      <c r="G25" s="251">
        <v>0</v>
      </c>
      <c r="H25" s="251">
        <f>F25-G25</f>
        <v>784.92</v>
      </c>
    </row>
    <row r="26" spans="1:15" s="251" customFormat="1" ht="15" customHeight="1" x14ac:dyDescent="0.25">
      <c r="A26" s="368" t="s">
        <v>227</v>
      </c>
      <c r="B26" s="310">
        <v>256</v>
      </c>
      <c r="C26" s="242" t="s">
        <v>228</v>
      </c>
      <c r="D26" s="242" t="s">
        <v>229</v>
      </c>
      <c r="F26" s="250">
        <v>2695.68</v>
      </c>
      <c r="G26" s="251">
        <v>449.28</v>
      </c>
      <c r="H26" s="251">
        <f>F26-G26</f>
        <v>2246.3999999999996</v>
      </c>
    </row>
    <row r="27" spans="1:15" s="251" customFormat="1" ht="15" customHeight="1" x14ac:dyDescent="0.25">
      <c r="A27" s="368" t="s">
        <v>227</v>
      </c>
      <c r="B27" s="310"/>
      <c r="C27" s="242" t="s">
        <v>155</v>
      </c>
      <c r="D27" s="242" t="s">
        <v>303</v>
      </c>
      <c r="E27" s="251">
        <v>2246.4</v>
      </c>
      <c r="F27" s="250"/>
      <c r="G27" s="251">
        <v>0</v>
      </c>
    </row>
    <row r="28" spans="1:15" s="251" customFormat="1" ht="15" customHeight="1" x14ac:dyDescent="0.25">
      <c r="A28" s="368" t="s">
        <v>271</v>
      </c>
      <c r="B28" s="310" t="s">
        <v>272</v>
      </c>
      <c r="C28" s="242" t="s">
        <v>76</v>
      </c>
      <c r="D28" s="242" t="s">
        <v>273</v>
      </c>
      <c r="E28" s="251">
        <v>538.1</v>
      </c>
      <c r="F28" s="250"/>
      <c r="G28" s="251">
        <v>0</v>
      </c>
    </row>
    <row r="29" spans="1:15" s="251" customFormat="1" ht="15" customHeight="1" x14ac:dyDescent="0.25">
      <c r="A29" s="368" t="s">
        <v>237</v>
      </c>
      <c r="B29" s="310" t="s">
        <v>231</v>
      </c>
      <c r="C29" s="242" t="s">
        <v>474</v>
      </c>
      <c r="D29" s="242" t="s">
        <v>238</v>
      </c>
      <c r="F29" s="250">
        <v>437.6</v>
      </c>
      <c r="G29" s="251">
        <v>0</v>
      </c>
      <c r="H29" s="251">
        <f>F29-G29</f>
        <v>437.6</v>
      </c>
    </row>
    <row r="30" spans="1:15" s="251" customFormat="1" ht="15" customHeight="1" x14ac:dyDescent="0.25">
      <c r="A30" s="368" t="s">
        <v>237</v>
      </c>
      <c r="B30" s="310" t="s">
        <v>223</v>
      </c>
      <c r="C30" s="242" t="s">
        <v>170</v>
      </c>
      <c r="D30" s="242" t="s">
        <v>274</v>
      </c>
      <c r="E30" s="251">
        <v>63.57</v>
      </c>
      <c r="F30" s="250"/>
      <c r="G30" s="251">
        <v>0</v>
      </c>
    </row>
    <row r="31" spans="1:15" s="251" customFormat="1" ht="15" customHeight="1" x14ac:dyDescent="0.25">
      <c r="A31" s="368" t="s">
        <v>275</v>
      </c>
      <c r="B31" s="310"/>
      <c r="C31" s="242" t="s">
        <v>86</v>
      </c>
      <c r="D31" s="242" t="s">
        <v>276</v>
      </c>
      <c r="E31" s="251">
        <v>815.8</v>
      </c>
      <c r="F31" s="250"/>
      <c r="G31" s="251">
        <v>0</v>
      </c>
    </row>
    <row r="32" spans="1:15" s="251" customFormat="1" ht="15" customHeight="1" x14ac:dyDescent="0.25">
      <c r="A32" s="368" t="s">
        <v>239</v>
      </c>
      <c r="B32" s="310" t="s">
        <v>244</v>
      </c>
      <c r="C32" s="242" t="s">
        <v>474</v>
      </c>
      <c r="D32" s="242" t="s">
        <v>85</v>
      </c>
      <c r="F32" s="250">
        <v>7.92</v>
      </c>
      <c r="G32" s="251">
        <v>0</v>
      </c>
      <c r="H32" s="251">
        <f t="shared" ref="H32:H51" si="1">F32-G32</f>
        <v>7.92</v>
      </c>
    </row>
    <row r="33" spans="1:8" s="251" customFormat="1" ht="15" customHeight="1" x14ac:dyDescent="0.25">
      <c r="A33" s="368" t="s">
        <v>239</v>
      </c>
      <c r="B33" s="310" t="s">
        <v>249</v>
      </c>
      <c r="C33" s="242" t="s">
        <v>478</v>
      </c>
      <c r="D33" s="242" t="s">
        <v>250</v>
      </c>
      <c r="F33" s="250">
        <v>25</v>
      </c>
      <c r="G33" s="251">
        <v>0</v>
      </c>
      <c r="H33" s="251">
        <f t="shared" si="1"/>
        <v>25</v>
      </c>
    </row>
    <row r="34" spans="1:8" s="251" customFormat="1" ht="15" customHeight="1" x14ac:dyDescent="0.25">
      <c r="A34" s="368" t="s">
        <v>239</v>
      </c>
      <c r="B34" s="310" t="s">
        <v>246</v>
      </c>
      <c r="C34" s="242" t="s">
        <v>247</v>
      </c>
      <c r="D34" s="242" t="s">
        <v>248</v>
      </c>
      <c r="F34" s="250">
        <v>70</v>
      </c>
      <c r="G34" s="251">
        <v>0</v>
      </c>
      <c r="H34" s="251">
        <f t="shared" si="1"/>
        <v>70</v>
      </c>
    </row>
    <row r="35" spans="1:8" s="251" customFormat="1" ht="15" customHeight="1" x14ac:dyDescent="0.25">
      <c r="A35" s="368" t="s">
        <v>239</v>
      </c>
      <c r="B35" s="310">
        <v>1987</v>
      </c>
      <c r="C35" s="242" t="s">
        <v>480</v>
      </c>
      <c r="D35" s="242" t="s">
        <v>41</v>
      </c>
      <c r="F35" s="250">
        <v>115.2</v>
      </c>
      <c r="G35" s="251">
        <v>19.2</v>
      </c>
      <c r="H35" s="251">
        <f t="shared" si="1"/>
        <v>96</v>
      </c>
    </row>
    <row r="36" spans="1:8" s="251" customFormat="1" ht="15" customHeight="1" x14ac:dyDescent="0.25">
      <c r="A36" s="368" t="s">
        <v>239</v>
      </c>
      <c r="B36" s="310">
        <v>2435</v>
      </c>
      <c r="C36" s="242" t="s">
        <v>232</v>
      </c>
      <c r="D36" s="242" t="s">
        <v>245</v>
      </c>
      <c r="F36" s="250">
        <v>150</v>
      </c>
      <c r="G36" s="251">
        <v>0</v>
      </c>
      <c r="H36" s="251">
        <f t="shared" si="1"/>
        <v>150</v>
      </c>
    </row>
    <row r="37" spans="1:8" s="251" customFormat="1" ht="15" customHeight="1" x14ac:dyDescent="0.25">
      <c r="A37" s="368" t="s">
        <v>239</v>
      </c>
      <c r="B37" s="310" t="s">
        <v>231</v>
      </c>
      <c r="C37" s="242" t="s">
        <v>475</v>
      </c>
      <c r="D37" s="242" t="s">
        <v>243</v>
      </c>
      <c r="F37" s="250">
        <v>396.75</v>
      </c>
      <c r="G37" s="251">
        <v>0</v>
      </c>
      <c r="H37" s="251">
        <f t="shared" si="1"/>
        <v>396.75</v>
      </c>
    </row>
    <row r="38" spans="1:8" s="251" customFormat="1" ht="15" customHeight="1" x14ac:dyDescent="0.25">
      <c r="A38" s="368" t="s">
        <v>239</v>
      </c>
      <c r="B38" s="310" t="s">
        <v>240</v>
      </c>
      <c r="C38" s="242" t="s">
        <v>241</v>
      </c>
      <c r="D38" s="242" t="s">
        <v>242</v>
      </c>
      <c r="F38" s="250">
        <v>1100</v>
      </c>
      <c r="G38" s="251">
        <v>0</v>
      </c>
      <c r="H38" s="251">
        <f t="shared" si="1"/>
        <v>1100</v>
      </c>
    </row>
    <row r="39" spans="1:8" s="251" customFormat="1" ht="15" customHeight="1" x14ac:dyDescent="0.25">
      <c r="A39" s="368" t="s">
        <v>251</v>
      </c>
      <c r="B39" s="310">
        <v>1000202935</v>
      </c>
      <c r="C39" s="242" t="s">
        <v>252</v>
      </c>
      <c r="D39" s="242" t="s">
        <v>253</v>
      </c>
      <c r="F39" s="250">
        <v>147.6</v>
      </c>
      <c r="G39" s="251">
        <v>24.6</v>
      </c>
      <c r="H39" s="251">
        <f t="shared" si="1"/>
        <v>123</v>
      </c>
    </row>
    <row r="40" spans="1:8" s="251" customFormat="1" ht="15" customHeight="1" x14ac:dyDescent="0.25">
      <c r="A40" s="368" t="s">
        <v>254</v>
      </c>
      <c r="B40" s="310" t="s">
        <v>244</v>
      </c>
      <c r="C40" s="242" t="s">
        <v>474</v>
      </c>
      <c r="D40" s="242" t="s">
        <v>255</v>
      </c>
      <c r="F40" s="250">
        <v>437.6</v>
      </c>
      <c r="G40" s="251">
        <v>0</v>
      </c>
      <c r="H40" s="251">
        <f t="shared" si="1"/>
        <v>437.6</v>
      </c>
    </row>
    <row r="41" spans="1:8" s="251" customFormat="1" ht="15" customHeight="1" x14ac:dyDescent="0.25">
      <c r="A41" s="368" t="s">
        <v>256</v>
      </c>
      <c r="B41" s="310"/>
      <c r="C41" s="242" t="s">
        <v>474</v>
      </c>
      <c r="D41" s="242" t="s">
        <v>258</v>
      </c>
      <c r="F41" s="250">
        <v>9.25</v>
      </c>
      <c r="G41" s="251">
        <v>0</v>
      </c>
      <c r="H41" s="251">
        <f t="shared" si="1"/>
        <v>9.25</v>
      </c>
    </row>
    <row r="42" spans="1:8" s="251" customFormat="1" ht="15" customHeight="1" x14ac:dyDescent="0.25">
      <c r="A42" s="368" t="s">
        <v>256</v>
      </c>
      <c r="B42" s="310">
        <v>2437</v>
      </c>
      <c r="C42" s="242" t="s">
        <v>232</v>
      </c>
      <c r="D42" s="242" t="s">
        <v>259</v>
      </c>
      <c r="F42" s="250">
        <v>9.67</v>
      </c>
      <c r="G42" s="251">
        <v>0</v>
      </c>
      <c r="H42" s="251">
        <f t="shared" si="1"/>
        <v>9.67</v>
      </c>
    </row>
    <row r="43" spans="1:8" s="251" customFormat="1" ht="15" customHeight="1" x14ac:dyDescent="0.25">
      <c r="A43" s="368" t="s">
        <v>256</v>
      </c>
      <c r="B43" s="310"/>
      <c r="C43" s="242" t="s">
        <v>475</v>
      </c>
      <c r="D43" s="242" t="s">
        <v>257</v>
      </c>
      <c r="F43" s="250">
        <v>437</v>
      </c>
      <c r="G43" s="251">
        <v>0</v>
      </c>
      <c r="H43" s="251">
        <f t="shared" si="1"/>
        <v>437</v>
      </c>
    </row>
    <row r="44" spans="1:8" s="251" customFormat="1" ht="15" customHeight="1" x14ac:dyDescent="0.25">
      <c r="A44" s="368" t="s">
        <v>260</v>
      </c>
      <c r="B44" s="310"/>
      <c r="C44" s="242" t="s">
        <v>261</v>
      </c>
      <c r="D44" s="242" t="s">
        <v>262</v>
      </c>
      <c r="F44" s="250">
        <v>10.8</v>
      </c>
      <c r="G44" s="251">
        <v>0</v>
      </c>
      <c r="H44" s="251">
        <f t="shared" si="1"/>
        <v>10.8</v>
      </c>
    </row>
    <row r="45" spans="1:8" s="251" customFormat="1" ht="15" customHeight="1" x14ac:dyDescent="0.25">
      <c r="A45" s="368" t="s">
        <v>260</v>
      </c>
      <c r="B45" s="310" t="s">
        <v>231</v>
      </c>
      <c r="C45" s="242" t="s">
        <v>170</v>
      </c>
      <c r="D45" s="242" t="s">
        <v>281</v>
      </c>
      <c r="E45" s="251">
        <v>50.21</v>
      </c>
      <c r="F45" s="250"/>
      <c r="G45" s="251">
        <v>0</v>
      </c>
      <c r="H45" s="251">
        <f t="shared" si="1"/>
        <v>0</v>
      </c>
    </row>
    <row r="46" spans="1:8" s="251" customFormat="1" ht="15" customHeight="1" x14ac:dyDescent="0.25">
      <c r="A46" s="368" t="s">
        <v>280</v>
      </c>
      <c r="B46" s="310" t="s">
        <v>279</v>
      </c>
      <c r="C46" s="242" t="s">
        <v>76</v>
      </c>
      <c r="D46" s="242" t="s">
        <v>273</v>
      </c>
      <c r="E46" s="251">
        <v>598.9</v>
      </c>
      <c r="F46" s="250"/>
      <c r="G46" s="251">
        <v>0</v>
      </c>
      <c r="H46" s="251">
        <f t="shared" si="1"/>
        <v>0</v>
      </c>
    </row>
    <row r="47" spans="1:8" s="251" customFormat="1" ht="15" customHeight="1" x14ac:dyDescent="0.25">
      <c r="A47" s="368" t="s">
        <v>278</v>
      </c>
      <c r="B47" s="310" t="s">
        <v>127</v>
      </c>
      <c r="C47" s="242" t="s">
        <v>479</v>
      </c>
      <c r="D47" s="242" t="s">
        <v>277</v>
      </c>
      <c r="E47" s="251">
        <v>1200</v>
      </c>
      <c r="F47" s="250"/>
      <c r="G47" s="251">
        <v>0</v>
      </c>
      <c r="H47" s="251">
        <f t="shared" si="1"/>
        <v>0</v>
      </c>
    </row>
    <row r="48" spans="1:8" s="251" customFormat="1" ht="15" customHeight="1" x14ac:dyDescent="0.25">
      <c r="A48" s="368" t="s">
        <v>263</v>
      </c>
      <c r="B48" s="310" t="s">
        <v>264</v>
      </c>
      <c r="C48" s="242" t="s">
        <v>474</v>
      </c>
      <c r="D48" s="242" t="s">
        <v>87</v>
      </c>
      <c r="F48" s="250">
        <v>437.6</v>
      </c>
      <c r="G48" s="251">
        <v>0</v>
      </c>
      <c r="H48" s="251">
        <f t="shared" si="1"/>
        <v>437.6</v>
      </c>
    </row>
    <row r="49" spans="1:19" s="251" customFormat="1" ht="15" customHeight="1" x14ac:dyDescent="0.25">
      <c r="A49" s="368" t="s">
        <v>284</v>
      </c>
      <c r="B49" s="310" t="s">
        <v>283</v>
      </c>
      <c r="C49" s="242" t="s">
        <v>170</v>
      </c>
      <c r="D49" s="242" t="s">
        <v>282</v>
      </c>
      <c r="E49" s="251">
        <v>22.33</v>
      </c>
      <c r="F49" s="250"/>
      <c r="G49" s="251">
        <v>0</v>
      </c>
      <c r="H49" s="251">
        <f t="shared" si="1"/>
        <v>0</v>
      </c>
    </row>
    <row r="50" spans="1:19" s="251" customFormat="1" ht="15" customHeight="1" x14ac:dyDescent="0.25">
      <c r="A50" s="368" t="s">
        <v>265</v>
      </c>
      <c r="B50" s="310" t="s">
        <v>266</v>
      </c>
      <c r="C50" s="242" t="s">
        <v>474</v>
      </c>
      <c r="D50" s="242" t="s">
        <v>88</v>
      </c>
      <c r="F50" s="250">
        <v>437.6</v>
      </c>
      <c r="G50" s="251">
        <v>0</v>
      </c>
      <c r="H50" s="251">
        <f t="shared" si="1"/>
        <v>437.6</v>
      </c>
    </row>
    <row r="51" spans="1:19" s="251" customFormat="1" ht="15" customHeight="1" x14ac:dyDescent="0.25">
      <c r="A51" s="368" t="s">
        <v>289</v>
      </c>
      <c r="B51" s="310" t="s">
        <v>128</v>
      </c>
      <c r="C51" s="242" t="s">
        <v>482</v>
      </c>
      <c r="D51" s="242" t="s">
        <v>288</v>
      </c>
      <c r="E51" s="251">
        <v>125</v>
      </c>
      <c r="F51" s="250"/>
      <c r="G51" s="251">
        <v>0</v>
      </c>
      <c r="H51" s="251">
        <f t="shared" si="1"/>
        <v>0</v>
      </c>
    </row>
    <row r="52" spans="1:19" s="310" customFormat="1" ht="15" customHeight="1" x14ac:dyDescent="0.25">
      <c r="A52" s="310" t="s">
        <v>286</v>
      </c>
      <c r="C52" s="310" t="s">
        <v>83</v>
      </c>
      <c r="D52" s="310" t="s">
        <v>285</v>
      </c>
      <c r="E52" s="251">
        <v>21.73</v>
      </c>
      <c r="F52" s="250"/>
      <c r="G52" s="251">
        <f>IF($E52&gt;0,'Bank Account'!$G21+$E52,IF($F52&gt;0,'Bank Account'!$G21-$F52,'Bank Account'!$G21))</f>
        <v>21.73</v>
      </c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</row>
    <row r="53" spans="1:19" s="251" customFormat="1" ht="15" customHeight="1" x14ac:dyDescent="0.25">
      <c r="A53" s="363" t="s">
        <v>286</v>
      </c>
      <c r="C53" s="363" t="s">
        <v>83</v>
      </c>
      <c r="D53" s="363" t="s">
        <v>287</v>
      </c>
      <c r="E53" s="251">
        <v>8.67</v>
      </c>
    </row>
    <row r="54" spans="1:19" s="251" customFormat="1" ht="15" customHeight="1" x14ac:dyDescent="0.25">
      <c r="A54" s="368" t="s">
        <v>305</v>
      </c>
      <c r="B54" s="310"/>
      <c r="C54" s="242" t="s">
        <v>475</v>
      </c>
      <c r="D54" s="242" t="s">
        <v>306</v>
      </c>
      <c r="F54" s="250">
        <v>816.5</v>
      </c>
      <c r="G54" s="251">
        <v>0</v>
      </c>
      <c r="H54" s="251">
        <f t="shared" ref="H54:H86" si="2">F54-G54</f>
        <v>816.5</v>
      </c>
    </row>
    <row r="55" spans="1:19" s="251" customFormat="1" ht="15" customHeight="1" x14ac:dyDescent="0.25">
      <c r="A55" s="368" t="s">
        <v>305</v>
      </c>
      <c r="B55" s="310"/>
      <c r="C55" s="242" t="s">
        <v>474</v>
      </c>
      <c r="D55" s="242" t="s">
        <v>307</v>
      </c>
      <c r="F55" s="250">
        <v>3.96</v>
      </c>
      <c r="G55" s="251">
        <v>0</v>
      </c>
      <c r="H55" s="251">
        <f t="shared" si="2"/>
        <v>3.96</v>
      </c>
    </row>
    <row r="56" spans="1:19" s="251" customFormat="1" ht="15" customHeight="1" x14ac:dyDescent="0.25">
      <c r="A56" s="368" t="s">
        <v>305</v>
      </c>
      <c r="B56" s="310">
        <v>734</v>
      </c>
      <c r="C56" s="242" t="s">
        <v>308</v>
      </c>
      <c r="D56" s="242" t="s">
        <v>309</v>
      </c>
      <c r="F56" s="250">
        <v>50</v>
      </c>
      <c r="G56" s="251">
        <v>0</v>
      </c>
      <c r="H56" s="251">
        <f t="shared" si="2"/>
        <v>50</v>
      </c>
    </row>
    <row r="57" spans="1:19" s="251" customFormat="1" ht="15" customHeight="1" x14ac:dyDescent="0.25">
      <c r="A57" s="368" t="s">
        <v>305</v>
      </c>
      <c r="B57" s="310">
        <v>2995</v>
      </c>
      <c r="C57" s="242" t="s">
        <v>310</v>
      </c>
      <c r="D57" s="242" t="s">
        <v>342</v>
      </c>
      <c r="F57" s="250">
        <v>216</v>
      </c>
      <c r="G57" s="251">
        <v>36</v>
      </c>
      <c r="H57" s="251">
        <f t="shared" si="2"/>
        <v>180</v>
      </c>
    </row>
    <row r="58" spans="1:19" s="251" customFormat="1" ht="15" customHeight="1" x14ac:dyDescent="0.25">
      <c r="A58" s="368" t="s">
        <v>311</v>
      </c>
      <c r="B58" s="310" t="s">
        <v>264</v>
      </c>
      <c r="C58" s="242" t="s">
        <v>170</v>
      </c>
      <c r="D58" s="242" t="s">
        <v>317</v>
      </c>
      <c r="E58" s="251">
        <v>8.17</v>
      </c>
      <c r="F58" s="250"/>
      <c r="G58" s="251">
        <v>0</v>
      </c>
      <c r="H58" s="251">
        <f t="shared" si="2"/>
        <v>0</v>
      </c>
    </row>
    <row r="59" spans="1:19" s="251" customFormat="1" ht="15.75" customHeight="1" x14ac:dyDescent="0.25">
      <c r="A59" s="368" t="s">
        <v>312</v>
      </c>
      <c r="B59" s="404">
        <v>6.3862164133192499E+18</v>
      </c>
      <c r="C59" s="242" t="s">
        <v>313</v>
      </c>
      <c r="D59" s="242" t="s">
        <v>314</v>
      </c>
      <c r="F59" s="250">
        <v>79.989999999999995</v>
      </c>
      <c r="G59" s="251">
        <v>13.33</v>
      </c>
      <c r="H59" s="251">
        <f t="shared" si="2"/>
        <v>66.66</v>
      </c>
    </row>
    <row r="60" spans="1:19" s="251" customFormat="1" ht="15" customHeight="1" x14ac:dyDescent="0.25">
      <c r="A60" s="368" t="s">
        <v>315</v>
      </c>
      <c r="B60" s="310"/>
      <c r="C60" s="242" t="s">
        <v>476</v>
      </c>
      <c r="D60" s="242" t="s">
        <v>316</v>
      </c>
      <c r="E60" s="251">
        <v>8000</v>
      </c>
      <c r="F60" s="250"/>
      <c r="H60" s="251">
        <f t="shared" si="2"/>
        <v>0</v>
      </c>
    </row>
    <row r="61" spans="1:19" s="251" customFormat="1" ht="15" customHeight="1" x14ac:dyDescent="0.25">
      <c r="A61" s="368" t="s">
        <v>318</v>
      </c>
      <c r="B61" s="310" t="s">
        <v>266</v>
      </c>
      <c r="C61" s="242" t="s">
        <v>170</v>
      </c>
      <c r="D61" s="242" t="s">
        <v>322</v>
      </c>
      <c r="E61" s="251">
        <v>19.399999999999999</v>
      </c>
      <c r="F61" s="250"/>
      <c r="H61" s="251">
        <f t="shared" si="2"/>
        <v>0</v>
      </c>
    </row>
    <row r="62" spans="1:19" s="251" customFormat="1" ht="15" customHeight="1" x14ac:dyDescent="0.25">
      <c r="A62" s="368" t="s">
        <v>318</v>
      </c>
      <c r="B62" s="310" t="s">
        <v>319</v>
      </c>
      <c r="C62" s="242" t="s">
        <v>474</v>
      </c>
      <c r="D62" s="242" t="s">
        <v>320</v>
      </c>
      <c r="F62" s="250">
        <v>437.6</v>
      </c>
      <c r="G62" s="251">
        <v>0</v>
      </c>
      <c r="H62" s="251">
        <f t="shared" si="2"/>
        <v>437.6</v>
      </c>
    </row>
    <row r="63" spans="1:19" s="251" customFormat="1" ht="15" customHeight="1" x14ac:dyDescent="0.25">
      <c r="A63" s="368" t="s">
        <v>318</v>
      </c>
      <c r="B63" s="310" t="s">
        <v>319</v>
      </c>
      <c r="C63" s="242" t="s">
        <v>474</v>
      </c>
      <c r="D63" s="242" t="s">
        <v>321</v>
      </c>
      <c r="F63" s="250">
        <v>73.5</v>
      </c>
      <c r="G63" s="251">
        <v>0</v>
      </c>
      <c r="H63" s="251">
        <f t="shared" si="2"/>
        <v>73.5</v>
      </c>
    </row>
    <row r="64" spans="1:19" s="251" customFormat="1" ht="15" customHeight="1" x14ac:dyDescent="0.25">
      <c r="A64" s="368" t="s">
        <v>325</v>
      </c>
      <c r="B64" s="310"/>
      <c r="C64" s="242" t="s">
        <v>326</v>
      </c>
      <c r="D64" s="242" t="s">
        <v>327</v>
      </c>
      <c r="F64" s="250">
        <v>3</v>
      </c>
      <c r="G64" s="251">
        <v>0</v>
      </c>
      <c r="H64" s="251">
        <f t="shared" si="2"/>
        <v>3</v>
      </c>
    </row>
    <row r="65" spans="1:16" ht="15" customHeight="1" x14ac:dyDescent="0.25">
      <c r="A65" s="260" t="s">
        <v>328</v>
      </c>
      <c r="B65" s="261"/>
      <c r="C65" s="262" t="s">
        <v>155</v>
      </c>
      <c r="D65" s="262" t="s">
        <v>302</v>
      </c>
      <c r="E65" s="263">
        <v>1000</v>
      </c>
      <c r="F65" s="250">
        <v>0</v>
      </c>
      <c r="G65" s="251"/>
      <c r="H65" s="251"/>
      <c r="I65" s="242"/>
      <c r="J65" s="244"/>
      <c r="K65" s="244"/>
      <c r="L65" s="244"/>
      <c r="M65" s="246"/>
      <c r="N65" s="246"/>
      <c r="O65" s="246"/>
      <c r="P65" s="246"/>
    </row>
    <row r="66" spans="1:16" s="251" customFormat="1" ht="15" customHeight="1" x14ac:dyDescent="0.25">
      <c r="A66" s="368" t="s">
        <v>328</v>
      </c>
      <c r="B66" s="310"/>
      <c r="C66" s="242" t="s">
        <v>475</v>
      </c>
      <c r="D66" s="242" t="s">
        <v>335</v>
      </c>
      <c r="F66" s="250">
        <v>350.75</v>
      </c>
      <c r="H66" s="251">
        <f t="shared" si="2"/>
        <v>350.75</v>
      </c>
    </row>
    <row r="67" spans="1:16" s="251" customFormat="1" ht="15" customHeight="1" x14ac:dyDescent="0.25">
      <c r="A67" s="368" t="s">
        <v>328</v>
      </c>
      <c r="B67" s="310"/>
      <c r="C67" s="242" t="s">
        <v>474</v>
      </c>
      <c r="D67" s="242" t="s">
        <v>307</v>
      </c>
      <c r="F67" s="250">
        <v>18.27</v>
      </c>
      <c r="H67" s="251">
        <f t="shared" si="2"/>
        <v>18.27</v>
      </c>
    </row>
    <row r="68" spans="1:16" s="251" customFormat="1" ht="15" customHeight="1" x14ac:dyDescent="0.25">
      <c r="A68" s="368" t="s">
        <v>328</v>
      </c>
      <c r="B68" s="310">
        <v>2405</v>
      </c>
      <c r="C68" s="242" t="s">
        <v>329</v>
      </c>
      <c r="D68" s="242" t="s">
        <v>330</v>
      </c>
      <c r="F68" s="250">
        <v>18.670000000000002</v>
      </c>
      <c r="H68" s="251">
        <f t="shared" si="2"/>
        <v>18.670000000000002</v>
      </c>
    </row>
    <row r="69" spans="1:16" s="251" customFormat="1" ht="15" customHeight="1" x14ac:dyDescent="0.25">
      <c r="A69" s="368" t="s">
        <v>328</v>
      </c>
      <c r="B69" s="310">
        <v>701087133</v>
      </c>
      <c r="C69" s="242" t="s">
        <v>476</v>
      </c>
      <c r="D69" s="242" t="s">
        <v>331</v>
      </c>
      <c r="F69" s="250">
        <v>162</v>
      </c>
      <c r="G69" s="251">
        <v>27</v>
      </c>
      <c r="H69" s="251">
        <f t="shared" si="2"/>
        <v>135</v>
      </c>
    </row>
    <row r="70" spans="1:16" s="251" customFormat="1" ht="15" customHeight="1" x14ac:dyDescent="0.25">
      <c r="A70" s="368" t="s">
        <v>328</v>
      </c>
      <c r="B70" s="310">
        <v>701086817</v>
      </c>
      <c r="C70" s="242" t="s">
        <v>477</v>
      </c>
      <c r="D70" s="242" t="s">
        <v>331</v>
      </c>
      <c r="F70" s="250">
        <v>1296</v>
      </c>
      <c r="G70" s="251">
        <v>216</v>
      </c>
      <c r="H70" s="251">
        <f t="shared" si="2"/>
        <v>1080</v>
      </c>
    </row>
    <row r="71" spans="1:16" s="251" customFormat="1" ht="15" customHeight="1" x14ac:dyDescent="0.25">
      <c r="A71" s="368" t="s">
        <v>328</v>
      </c>
      <c r="B71" s="310" t="s">
        <v>334</v>
      </c>
      <c r="C71" s="242" t="s">
        <v>76</v>
      </c>
      <c r="D71" s="242" t="s">
        <v>336</v>
      </c>
      <c r="F71" s="250">
        <v>14.6</v>
      </c>
      <c r="H71" s="251">
        <f t="shared" si="2"/>
        <v>14.6</v>
      </c>
    </row>
    <row r="72" spans="1:16" s="251" customFormat="1" ht="15" customHeight="1" x14ac:dyDescent="0.25">
      <c r="A72" s="368" t="s">
        <v>328</v>
      </c>
      <c r="B72" s="310">
        <v>2087</v>
      </c>
      <c r="C72" s="242" t="s">
        <v>480</v>
      </c>
      <c r="D72" s="242" t="s">
        <v>332</v>
      </c>
      <c r="F72" s="250">
        <v>342</v>
      </c>
      <c r="G72" s="251">
        <v>57</v>
      </c>
      <c r="H72" s="251">
        <f t="shared" si="2"/>
        <v>285</v>
      </c>
    </row>
    <row r="73" spans="1:16" s="251" customFormat="1" ht="15" customHeight="1" x14ac:dyDescent="0.25">
      <c r="A73" s="368" t="s">
        <v>328</v>
      </c>
      <c r="B73" s="310"/>
      <c r="C73" s="242" t="s">
        <v>333</v>
      </c>
      <c r="D73" s="242" t="s">
        <v>204</v>
      </c>
      <c r="F73" s="250">
        <v>1000</v>
      </c>
      <c r="H73" s="251">
        <f t="shared" si="2"/>
        <v>1000</v>
      </c>
    </row>
    <row r="74" spans="1:16" s="251" customFormat="1" ht="15" customHeight="1" x14ac:dyDescent="0.25">
      <c r="A74" s="368" t="s">
        <v>338</v>
      </c>
      <c r="B74" s="310">
        <v>5586</v>
      </c>
      <c r="C74" s="242" t="s">
        <v>339</v>
      </c>
      <c r="D74" s="242" t="s">
        <v>340</v>
      </c>
      <c r="F74" s="250">
        <v>36.54</v>
      </c>
      <c r="G74" s="251">
        <v>6.09</v>
      </c>
      <c r="H74" s="251">
        <f t="shared" si="2"/>
        <v>30.45</v>
      </c>
    </row>
    <row r="75" spans="1:16" s="251" customFormat="1" ht="15" customHeight="1" x14ac:dyDescent="0.25">
      <c r="A75" s="368" t="s">
        <v>344</v>
      </c>
      <c r="B75" s="310" t="s">
        <v>345</v>
      </c>
      <c r="C75" s="242" t="s">
        <v>474</v>
      </c>
      <c r="D75" s="242" t="s">
        <v>346</v>
      </c>
      <c r="F75" s="250">
        <v>93.44</v>
      </c>
      <c r="H75" s="251">
        <f t="shared" si="2"/>
        <v>93.44</v>
      </c>
    </row>
    <row r="76" spans="1:16" s="251" customFormat="1" ht="15" customHeight="1" x14ac:dyDescent="0.25">
      <c r="A76" s="368" t="s">
        <v>344</v>
      </c>
      <c r="B76" s="310" t="s">
        <v>345</v>
      </c>
      <c r="C76" s="242" t="s">
        <v>474</v>
      </c>
      <c r="D76" s="242" t="s">
        <v>347</v>
      </c>
      <c r="F76" s="250">
        <v>437.6</v>
      </c>
      <c r="H76" s="251">
        <f t="shared" si="2"/>
        <v>437.6</v>
      </c>
    </row>
    <row r="77" spans="1:16" s="251" customFormat="1" ht="15" customHeight="1" x14ac:dyDescent="0.25">
      <c r="A77" s="368" t="s">
        <v>348</v>
      </c>
      <c r="B77" s="310" t="s">
        <v>319</v>
      </c>
      <c r="C77" s="242" t="s">
        <v>170</v>
      </c>
      <c r="D77" s="242" t="s">
        <v>349</v>
      </c>
      <c r="E77" s="251">
        <v>11.64</v>
      </c>
      <c r="F77" s="250"/>
      <c r="H77" s="251">
        <f t="shared" si="2"/>
        <v>0</v>
      </c>
    </row>
    <row r="78" spans="1:16" s="251" customFormat="1" ht="15" customHeight="1" x14ac:dyDescent="0.25">
      <c r="A78" s="368" t="s">
        <v>353</v>
      </c>
      <c r="B78" s="310"/>
      <c r="C78" s="242" t="s">
        <v>474</v>
      </c>
      <c r="D78" s="242" t="s">
        <v>355</v>
      </c>
      <c r="E78" s="251">
        <v>14.6</v>
      </c>
      <c r="F78" s="250"/>
      <c r="H78" s="251">
        <f t="shared" si="2"/>
        <v>0</v>
      </c>
    </row>
    <row r="79" spans="1:16" s="251" customFormat="1" ht="15" customHeight="1" x14ac:dyDescent="0.25">
      <c r="A79" s="368" t="s">
        <v>354</v>
      </c>
      <c r="B79" s="310" t="s">
        <v>345</v>
      </c>
      <c r="C79" s="242" t="s">
        <v>475</v>
      </c>
      <c r="D79" s="242" t="s">
        <v>356</v>
      </c>
      <c r="F79" s="250">
        <v>379.5</v>
      </c>
      <c r="H79" s="251">
        <f t="shared" si="2"/>
        <v>379.5</v>
      </c>
    </row>
    <row r="80" spans="1:16" s="251" customFormat="1" ht="15" customHeight="1" x14ac:dyDescent="0.25">
      <c r="A80" s="368" t="s">
        <v>354</v>
      </c>
      <c r="B80" s="310"/>
      <c r="C80" s="242" t="s">
        <v>474</v>
      </c>
      <c r="D80" s="242" t="s">
        <v>357</v>
      </c>
      <c r="F80" s="250">
        <v>22.23</v>
      </c>
      <c r="H80" s="251">
        <f t="shared" si="2"/>
        <v>22.23</v>
      </c>
    </row>
    <row r="81" spans="1:16" s="251" customFormat="1" ht="15" customHeight="1" x14ac:dyDescent="0.25">
      <c r="A81" s="368" t="s">
        <v>354</v>
      </c>
      <c r="B81" s="310"/>
      <c r="C81" s="242" t="s">
        <v>474</v>
      </c>
      <c r="D81" s="242" t="s">
        <v>358</v>
      </c>
      <c r="F81" s="250">
        <v>130.57</v>
      </c>
      <c r="H81" s="251">
        <f t="shared" si="2"/>
        <v>130.57</v>
      </c>
    </row>
    <row r="82" spans="1:16" s="251" customFormat="1" ht="15" customHeight="1" x14ac:dyDescent="0.25">
      <c r="A82" s="368" t="s">
        <v>354</v>
      </c>
      <c r="B82" s="310">
        <v>2057</v>
      </c>
      <c r="C82" s="242" t="s">
        <v>359</v>
      </c>
      <c r="D82" s="242" t="s">
        <v>360</v>
      </c>
      <c r="F82" s="250">
        <v>126</v>
      </c>
      <c r="G82" s="251">
        <v>21</v>
      </c>
      <c r="H82" s="251">
        <f t="shared" si="2"/>
        <v>105</v>
      </c>
    </row>
    <row r="83" spans="1:16" s="251" customFormat="1" ht="15" customHeight="1" x14ac:dyDescent="0.25">
      <c r="A83" s="368" t="s">
        <v>354</v>
      </c>
      <c r="B83" s="310" t="s">
        <v>364</v>
      </c>
      <c r="C83" s="242" t="s">
        <v>361</v>
      </c>
      <c r="D83" s="242" t="s">
        <v>362</v>
      </c>
      <c r="F83" s="250">
        <v>800</v>
      </c>
      <c r="H83" s="251">
        <f t="shared" si="2"/>
        <v>800</v>
      </c>
    </row>
    <row r="84" spans="1:16" s="251" customFormat="1" ht="15" customHeight="1" x14ac:dyDescent="0.25">
      <c r="A84" s="368" t="s">
        <v>354</v>
      </c>
      <c r="B84" s="310" t="s">
        <v>365</v>
      </c>
      <c r="C84" s="242" t="s">
        <v>76</v>
      </c>
      <c r="D84" s="242" t="s">
        <v>363</v>
      </c>
      <c r="F84" s="250">
        <v>20.2</v>
      </c>
      <c r="H84" s="251">
        <f t="shared" si="2"/>
        <v>20.2</v>
      </c>
    </row>
    <row r="85" spans="1:16" s="251" customFormat="1" ht="15" customHeight="1" x14ac:dyDescent="0.25">
      <c r="A85" s="368" t="s">
        <v>373</v>
      </c>
      <c r="B85" s="310">
        <v>2406</v>
      </c>
      <c r="C85" s="242" t="s">
        <v>232</v>
      </c>
      <c r="D85" s="242" t="s">
        <v>332</v>
      </c>
      <c r="E85" s="251">
        <v>95</v>
      </c>
      <c r="F85" s="250"/>
      <c r="H85" s="251">
        <f t="shared" si="2"/>
        <v>0</v>
      </c>
    </row>
    <row r="86" spans="1:16" s="251" customFormat="1" ht="15" customHeight="1" x14ac:dyDescent="0.25">
      <c r="A86" s="368" t="s">
        <v>374</v>
      </c>
      <c r="B86" s="310"/>
      <c r="C86" s="242" t="s">
        <v>481</v>
      </c>
      <c r="D86" s="242" t="s">
        <v>375</v>
      </c>
      <c r="F86" s="250">
        <v>35</v>
      </c>
      <c r="H86" s="251">
        <f t="shared" si="2"/>
        <v>35</v>
      </c>
    </row>
    <row r="87" spans="1:16" s="251" customFormat="1" ht="15" customHeight="1" x14ac:dyDescent="0.25">
      <c r="A87" s="368" t="s">
        <v>377</v>
      </c>
      <c r="B87" s="310" t="s">
        <v>345</v>
      </c>
      <c r="C87" s="242" t="s">
        <v>170</v>
      </c>
      <c r="D87" s="242" t="s">
        <v>380</v>
      </c>
      <c r="E87" s="251">
        <v>12.1</v>
      </c>
      <c r="F87" s="250"/>
      <c r="H87" s="251">
        <f t="shared" ref="H87:H122" si="3">F87-G87</f>
        <v>0</v>
      </c>
    </row>
    <row r="88" spans="1:16" s="251" customFormat="1" ht="15" customHeight="1" x14ac:dyDescent="0.25">
      <c r="A88" s="368" t="s">
        <v>377</v>
      </c>
      <c r="B88" s="310">
        <v>7393050</v>
      </c>
      <c r="C88" s="242" t="s">
        <v>378</v>
      </c>
      <c r="D88" s="242" t="s">
        <v>379</v>
      </c>
      <c r="E88" s="251">
        <v>111.96</v>
      </c>
      <c r="F88" s="250"/>
      <c r="H88" s="251">
        <f t="shared" si="3"/>
        <v>0</v>
      </c>
    </row>
    <row r="89" spans="1:16" s="251" customFormat="1" ht="15" customHeight="1" x14ac:dyDescent="0.25">
      <c r="A89" s="368" t="s">
        <v>381</v>
      </c>
      <c r="B89" s="310"/>
      <c r="C89" s="242" t="s">
        <v>474</v>
      </c>
      <c r="D89" s="242" t="s">
        <v>363</v>
      </c>
      <c r="E89" s="251">
        <v>20.2</v>
      </c>
      <c r="F89" s="250"/>
      <c r="H89" s="251">
        <f t="shared" si="3"/>
        <v>0</v>
      </c>
    </row>
    <row r="90" spans="1:16" s="251" customFormat="1" ht="15" customHeight="1" x14ac:dyDescent="0.25">
      <c r="A90" s="368" t="s">
        <v>382</v>
      </c>
      <c r="B90" s="310"/>
      <c r="C90" s="242" t="s">
        <v>474</v>
      </c>
      <c r="D90" s="242" t="s">
        <v>383</v>
      </c>
      <c r="F90" s="250">
        <v>77.900000000000006</v>
      </c>
      <c r="H90" s="251">
        <f t="shared" si="3"/>
        <v>77.900000000000006</v>
      </c>
    </row>
    <row r="91" spans="1:16" s="251" customFormat="1" ht="15" customHeight="1" x14ac:dyDescent="0.25">
      <c r="A91" s="368" t="s">
        <v>382</v>
      </c>
      <c r="B91" s="310"/>
      <c r="C91" s="242" t="s">
        <v>474</v>
      </c>
      <c r="D91" s="242" t="s">
        <v>384</v>
      </c>
      <c r="F91" s="250">
        <v>462.24</v>
      </c>
      <c r="H91" s="251">
        <f t="shared" si="3"/>
        <v>462.24</v>
      </c>
    </row>
    <row r="92" spans="1:16" s="251" customFormat="1" ht="15" customHeight="1" x14ac:dyDescent="0.25">
      <c r="A92" s="368" t="s">
        <v>382</v>
      </c>
      <c r="B92" s="310">
        <v>2405</v>
      </c>
      <c r="C92" s="242" t="s">
        <v>329</v>
      </c>
      <c r="D92" s="242" t="s">
        <v>386</v>
      </c>
      <c r="E92" s="251">
        <v>95</v>
      </c>
      <c r="F92" s="250"/>
      <c r="H92" s="251">
        <f t="shared" si="3"/>
        <v>0</v>
      </c>
    </row>
    <row r="93" spans="1:16" ht="15" customHeight="1" x14ac:dyDescent="0.25">
      <c r="A93" s="260" t="s">
        <v>385</v>
      </c>
      <c r="B93" s="261"/>
      <c r="C93" s="262" t="s">
        <v>83</v>
      </c>
      <c r="D93" s="262" t="s">
        <v>484</v>
      </c>
      <c r="E93" s="263">
        <v>12.96</v>
      </c>
      <c r="F93" s="250">
        <v>0</v>
      </c>
      <c r="G93" s="251"/>
      <c r="H93" s="251"/>
      <c r="I93" s="242"/>
      <c r="J93" s="244"/>
      <c r="K93" s="244"/>
      <c r="L93" s="244"/>
      <c r="M93" s="246"/>
      <c r="N93" s="246"/>
      <c r="O93" s="246"/>
      <c r="P93" s="246"/>
    </row>
    <row r="94" spans="1:16" ht="15" customHeight="1" x14ac:dyDescent="0.25">
      <c r="A94" s="260" t="s">
        <v>385</v>
      </c>
      <c r="B94" s="261"/>
      <c r="C94" s="262" t="s">
        <v>83</v>
      </c>
      <c r="D94" s="262" t="s">
        <v>483</v>
      </c>
      <c r="E94" s="263">
        <v>34.799999999999997</v>
      </c>
      <c r="F94" s="250">
        <v>0</v>
      </c>
      <c r="G94" s="251">
        <f>IF($E94&gt;0,'Bank Account'!$G153+$E94,IF($F94&gt;0,'Bank Account'!$G153-$F94,'Bank Account'!$G153))</f>
        <v>34.799999999999997</v>
      </c>
      <c r="H94" s="251"/>
      <c r="I94" s="242"/>
      <c r="J94" s="244"/>
      <c r="K94" s="244"/>
      <c r="L94" s="264"/>
      <c r="M94" s="246"/>
      <c r="N94" s="246"/>
      <c r="O94" s="246"/>
      <c r="P94" s="246"/>
    </row>
    <row r="95" spans="1:16" s="251" customFormat="1" ht="15" customHeight="1" x14ac:dyDescent="0.25">
      <c r="A95" s="368" t="s">
        <v>390</v>
      </c>
      <c r="B95" s="310"/>
      <c r="C95" s="242" t="s">
        <v>391</v>
      </c>
      <c r="D95" s="242" t="s">
        <v>392</v>
      </c>
      <c r="F95" s="250">
        <v>5.95</v>
      </c>
      <c r="G95" s="251">
        <v>0.99</v>
      </c>
      <c r="H95" s="251">
        <f t="shared" si="3"/>
        <v>4.96</v>
      </c>
    </row>
    <row r="96" spans="1:16" s="251" customFormat="1" ht="15" customHeight="1" x14ac:dyDescent="0.25">
      <c r="A96" s="368" t="s">
        <v>390</v>
      </c>
      <c r="B96" s="310">
        <v>16296</v>
      </c>
      <c r="C96" s="242" t="s">
        <v>393</v>
      </c>
      <c r="D96" s="242" t="s">
        <v>394</v>
      </c>
      <c r="F96" s="250">
        <v>1213.2</v>
      </c>
      <c r="G96" s="251">
        <v>202.2</v>
      </c>
      <c r="H96" s="251">
        <f t="shared" si="3"/>
        <v>1011</v>
      </c>
    </row>
    <row r="97" spans="1:8" s="251" customFormat="1" ht="15" customHeight="1" x14ac:dyDescent="0.25">
      <c r="A97" s="368" t="s">
        <v>390</v>
      </c>
      <c r="B97" s="310">
        <v>753</v>
      </c>
      <c r="C97" s="242" t="s">
        <v>308</v>
      </c>
      <c r="D97" s="242" t="s">
        <v>395</v>
      </c>
      <c r="F97" s="250">
        <v>50</v>
      </c>
      <c r="H97" s="251">
        <f t="shared" si="3"/>
        <v>50</v>
      </c>
    </row>
    <row r="98" spans="1:8" s="251" customFormat="1" ht="15" customHeight="1" x14ac:dyDescent="0.25">
      <c r="A98" s="368" t="s">
        <v>390</v>
      </c>
      <c r="B98" s="310"/>
      <c r="C98" s="242" t="s">
        <v>475</v>
      </c>
      <c r="D98" s="242" t="s">
        <v>396</v>
      </c>
      <c r="F98" s="250">
        <v>368.7</v>
      </c>
      <c r="H98" s="251">
        <f t="shared" si="3"/>
        <v>368.7</v>
      </c>
    </row>
    <row r="99" spans="1:8" s="251" customFormat="1" ht="15" customHeight="1" x14ac:dyDescent="0.25">
      <c r="A99" s="368" t="s">
        <v>390</v>
      </c>
      <c r="B99" s="310"/>
      <c r="C99" s="242" t="s">
        <v>474</v>
      </c>
      <c r="D99" s="242" t="s">
        <v>397</v>
      </c>
      <c r="F99" s="250">
        <v>7.92</v>
      </c>
      <c r="H99" s="251">
        <f t="shared" si="3"/>
        <v>7.92</v>
      </c>
    </row>
    <row r="100" spans="1:8" s="251" customFormat="1" ht="15" customHeight="1" x14ac:dyDescent="0.25">
      <c r="A100" s="368" t="s">
        <v>390</v>
      </c>
      <c r="B100" s="310"/>
      <c r="C100" s="242" t="s">
        <v>76</v>
      </c>
      <c r="D100" s="242" t="s">
        <v>398</v>
      </c>
      <c r="F100" s="250">
        <v>45.6</v>
      </c>
      <c r="H100" s="251">
        <f t="shared" si="3"/>
        <v>45.6</v>
      </c>
    </row>
    <row r="101" spans="1:8" s="251" customFormat="1" ht="15" customHeight="1" x14ac:dyDescent="0.25">
      <c r="A101" s="368" t="s">
        <v>399</v>
      </c>
      <c r="B101" s="310" t="s">
        <v>420</v>
      </c>
      <c r="C101" s="242" t="s">
        <v>170</v>
      </c>
      <c r="D101" s="242" t="s">
        <v>421</v>
      </c>
      <c r="E101" s="251">
        <v>10.09</v>
      </c>
      <c r="F101" s="250"/>
      <c r="H101" s="251">
        <f t="shared" si="3"/>
        <v>0</v>
      </c>
    </row>
    <row r="102" spans="1:8" s="251" customFormat="1" ht="15" customHeight="1" x14ac:dyDescent="0.25">
      <c r="A102" s="368" t="s">
        <v>399</v>
      </c>
      <c r="B102" s="310">
        <v>464444</v>
      </c>
      <c r="C102" s="242" t="s">
        <v>400</v>
      </c>
      <c r="D102" s="242" t="s">
        <v>401</v>
      </c>
      <c r="F102" s="250">
        <v>23.8</v>
      </c>
      <c r="G102" s="251">
        <v>3.97</v>
      </c>
      <c r="H102" s="251">
        <f t="shared" si="3"/>
        <v>19.830000000000002</v>
      </c>
    </row>
    <row r="103" spans="1:8" s="251" customFormat="1" ht="15" customHeight="1" x14ac:dyDescent="0.25">
      <c r="A103" s="368" t="s">
        <v>402</v>
      </c>
      <c r="B103" s="310"/>
      <c r="C103" s="242" t="s">
        <v>474</v>
      </c>
      <c r="D103" s="242" t="s">
        <v>403</v>
      </c>
      <c r="F103" s="250">
        <v>97.38</v>
      </c>
      <c r="H103" s="251">
        <f t="shared" si="3"/>
        <v>97.38</v>
      </c>
    </row>
    <row r="104" spans="1:8" s="251" customFormat="1" ht="15" customHeight="1" x14ac:dyDescent="0.25">
      <c r="A104" s="368" t="s">
        <v>402</v>
      </c>
      <c r="B104" s="310"/>
      <c r="C104" s="242" t="s">
        <v>474</v>
      </c>
      <c r="D104" s="242" t="s">
        <v>404</v>
      </c>
      <c r="F104" s="250">
        <v>462.24</v>
      </c>
      <c r="H104" s="251">
        <f t="shared" si="3"/>
        <v>462.24</v>
      </c>
    </row>
    <row r="105" spans="1:8" s="251" customFormat="1" ht="15" customHeight="1" x14ac:dyDescent="0.25">
      <c r="A105" s="368" t="s">
        <v>402</v>
      </c>
      <c r="B105" s="310"/>
      <c r="C105" s="242" t="s">
        <v>474</v>
      </c>
      <c r="D105" s="242" t="s">
        <v>398</v>
      </c>
      <c r="E105" s="251">
        <v>45.6</v>
      </c>
      <c r="F105" s="250"/>
      <c r="H105" s="251">
        <f t="shared" si="3"/>
        <v>0</v>
      </c>
    </row>
    <row r="106" spans="1:8" s="251" customFormat="1" ht="15" customHeight="1" x14ac:dyDescent="0.25">
      <c r="A106" s="368" t="s">
        <v>405</v>
      </c>
      <c r="B106" s="310">
        <v>1525714</v>
      </c>
      <c r="C106" s="242" t="s">
        <v>406</v>
      </c>
      <c r="D106" s="242" t="s">
        <v>407</v>
      </c>
      <c r="F106" s="250">
        <v>53.6</v>
      </c>
      <c r="G106" s="251">
        <v>6.69</v>
      </c>
      <c r="H106" s="251">
        <f t="shared" si="3"/>
        <v>46.910000000000004</v>
      </c>
    </row>
    <row r="107" spans="1:8" s="251" customFormat="1" ht="15" customHeight="1" x14ac:dyDescent="0.25">
      <c r="A107" s="368" t="s">
        <v>405</v>
      </c>
      <c r="B107" s="310"/>
      <c r="C107" s="242" t="s">
        <v>475</v>
      </c>
      <c r="D107" s="242" t="s">
        <v>408</v>
      </c>
      <c r="F107" s="250">
        <v>293.25</v>
      </c>
      <c r="H107" s="251">
        <f t="shared" si="3"/>
        <v>293.25</v>
      </c>
    </row>
    <row r="108" spans="1:8" s="251" customFormat="1" ht="15" customHeight="1" x14ac:dyDescent="0.25">
      <c r="A108" s="368" t="s">
        <v>405</v>
      </c>
      <c r="B108" s="310"/>
      <c r="C108" s="242" t="s">
        <v>474</v>
      </c>
      <c r="D108" s="242" t="s">
        <v>409</v>
      </c>
      <c r="F108" s="250">
        <v>3.96</v>
      </c>
      <c r="H108" s="251">
        <f t="shared" si="3"/>
        <v>3.96</v>
      </c>
    </row>
    <row r="109" spans="1:8" s="251" customFormat="1" ht="15" customHeight="1" x14ac:dyDescent="0.25">
      <c r="A109" s="368" t="s">
        <v>405</v>
      </c>
      <c r="B109" s="310">
        <v>1063</v>
      </c>
      <c r="C109" s="242" t="s">
        <v>410</v>
      </c>
      <c r="D109" s="242" t="s">
        <v>411</v>
      </c>
      <c r="F109" s="250">
        <v>1920</v>
      </c>
      <c r="G109" s="251">
        <v>320</v>
      </c>
      <c r="H109" s="251">
        <f t="shared" si="3"/>
        <v>1600</v>
      </c>
    </row>
    <row r="110" spans="1:8" s="251" customFormat="1" ht="15" customHeight="1" x14ac:dyDescent="0.25">
      <c r="A110" s="368" t="s">
        <v>405</v>
      </c>
      <c r="B110" s="310" t="s">
        <v>416</v>
      </c>
      <c r="C110" s="242" t="s">
        <v>412</v>
      </c>
      <c r="D110" s="242" t="s">
        <v>413</v>
      </c>
      <c r="F110" s="250">
        <v>79.8</v>
      </c>
      <c r="G110" s="251">
        <v>13.3</v>
      </c>
      <c r="H110" s="251">
        <f t="shared" si="3"/>
        <v>66.5</v>
      </c>
    </row>
    <row r="111" spans="1:8" s="251" customFormat="1" ht="15" customHeight="1" x14ac:dyDescent="0.25">
      <c r="A111" s="368" t="s">
        <v>405</v>
      </c>
      <c r="B111" s="310"/>
      <c r="C111" s="242" t="s">
        <v>482</v>
      </c>
      <c r="D111" s="242" t="s">
        <v>414</v>
      </c>
      <c r="F111" s="250">
        <v>300</v>
      </c>
      <c r="H111" s="251">
        <f t="shared" si="3"/>
        <v>300</v>
      </c>
    </row>
    <row r="112" spans="1:8" s="251" customFormat="1" ht="15" customHeight="1" x14ac:dyDescent="0.25">
      <c r="A112" s="368" t="s">
        <v>405</v>
      </c>
      <c r="B112" s="310"/>
      <c r="C112" s="242" t="s">
        <v>76</v>
      </c>
      <c r="D112" s="242" t="s">
        <v>415</v>
      </c>
      <c r="F112" s="250">
        <v>24.4</v>
      </c>
      <c r="H112" s="251">
        <f t="shared" si="3"/>
        <v>24.4</v>
      </c>
    </row>
    <row r="113" spans="1:16" ht="15" customHeight="1" x14ac:dyDescent="0.25">
      <c r="A113" s="260" t="s">
        <v>418</v>
      </c>
      <c r="B113" s="261"/>
      <c r="C113" s="262" t="s">
        <v>155</v>
      </c>
      <c r="D113" s="262" t="s">
        <v>417</v>
      </c>
      <c r="E113" s="263"/>
      <c r="F113" s="250">
        <v>1666.5</v>
      </c>
      <c r="G113" s="251"/>
      <c r="H113" s="251"/>
      <c r="I113" s="242"/>
      <c r="J113" s="244"/>
      <c r="K113" s="244"/>
      <c r="L113" s="264"/>
      <c r="M113" s="246"/>
      <c r="N113" s="246"/>
      <c r="O113" s="246"/>
      <c r="P113" s="246"/>
    </row>
    <row r="114" spans="1:16" s="251" customFormat="1" ht="15" customHeight="1" x14ac:dyDescent="0.25">
      <c r="A114" s="368" t="s">
        <v>418</v>
      </c>
      <c r="B114" s="310"/>
      <c r="C114" s="242" t="s">
        <v>155</v>
      </c>
      <c r="D114" s="242" t="s">
        <v>419</v>
      </c>
      <c r="E114" s="251">
        <v>1666.5</v>
      </c>
      <c r="F114" s="250"/>
      <c r="H114" s="251">
        <f t="shared" si="3"/>
        <v>0</v>
      </c>
    </row>
    <row r="115" spans="1:16" s="251" customFormat="1" ht="15" customHeight="1" x14ac:dyDescent="0.25">
      <c r="A115" s="368" t="s">
        <v>422</v>
      </c>
      <c r="B115" s="310"/>
      <c r="C115" s="242" t="s">
        <v>76</v>
      </c>
      <c r="D115" s="242" t="s">
        <v>423</v>
      </c>
      <c r="E115" s="251">
        <v>538.58000000000004</v>
      </c>
      <c r="F115" s="250"/>
      <c r="H115" s="251">
        <f t="shared" si="3"/>
        <v>0</v>
      </c>
    </row>
    <row r="116" spans="1:16" s="251" customFormat="1" ht="15" customHeight="1" x14ac:dyDescent="0.25">
      <c r="A116" s="368" t="s">
        <v>424</v>
      </c>
      <c r="B116" s="310"/>
      <c r="C116" s="242" t="s">
        <v>474</v>
      </c>
      <c r="D116" s="242" t="s">
        <v>425</v>
      </c>
      <c r="F116" s="250">
        <v>77.900000000000006</v>
      </c>
      <c r="H116" s="251">
        <f t="shared" si="3"/>
        <v>77.900000000000006</v>
      </c>
    </row>
    <row r="117" spans="1:16" s="251" customFormat="1" ht="15" customHeight="1" x14ac:dyDescent="0.25">
      <c r="A117" s="368" t="s">
        <v>424</v>
      </c>
      <c r="B117" s="310"/>
      <c r="C117" s="242" t="s">
        <v>474</v>
      </c>
      <c r="D117" s="242" t="s">
        <v>426</v>
      </c>
      <c r="F117" s="250">
        <v>462.24</v>
      </c>
      <c r="H117" s="251">
        <f t="shared" si="3"/>
        <v>462.24</v>
      </c>
    </row>
    <row r="118" spans="1:16" s="251" customFormat="1" ht="15" customHeight="1" x14ac:dyDescent="0.25">
      <c r="A118" s="368" t="s">
        <v>424</v>
      </c>
      <c r="B118" s="310"/>
      <c r="C118" s="242" t="s">
        <v>474</v>
      </c>
      <c r="D118" s="242" t="s">
        <v>415</v>
      </c>
      <c r="E118" s="251">
        <v>24.4</v>
      </c>
      <c r="F118" s="250"/>
      <c r="H118" s="251">
        <f t="shared" si="3"/>
        <v>0</v>
      </c>
    </row>
    <row r="119" spans="1:16" s="251" customFormat="1" ht="15" customHeight="1" x14ac:dyDescent="0.25">
      <c r="A119" s="368" t="s">
        <v>427</v>
      </c>
      <c r="B119" s="310"/>
      <c r="C119" s="242" t="s">
        <v>170</v>
      </c>
      <c r="D119" s="242" t="s">
        <v>428</v>
      </c>
      <c r="E119" s="251">
        <v>6.56</v>
      </c>
      <c r="F119" s="250"/>
      <c r="H119" s="251">
        <f t="shared" si="3"/>
        <v>0</v>
      </c>
    </row>
    <row r="120" spans="1:16" ht="15" customHeight="1" x14ac:dyDescent="0.25">
      <c r="A120" s="260" t="s">
        <v>432</v>
      </c>
      <c r="B120" s="261"/>
      <c r="C120" s="262" t="s">
        <v>155</v>
      </c>
      <c r="D120" s="262" t="s">
        <v>431</v>
      </c>
      <c r="E120" s="263"/>
      <c r="F120" s="250">
        <v>5523</v>
      </c>
      <c r="G120" s="251"/>
      <c r="H120" s="251"/>
      <c r="I120" s="242"/>
      <c r="J120" s="244"/>
      <c r="K120" s="244"/>
      <c r="L120" s="264"/>
      <c r="M120" s="246"/>
      <c r="N120" s="246"/>
      <c r="O120" s="246"/>
      <c r="P120" s="246"/>
    </row>
    <row r="121" spans="1:16" s="251" customFormat="1" ht="15" customHeight="1" x14ac:dyDescent="0.25">
      <c r="A121" s="368" t="s">
        <v>432</v>
      </c>
      <c r="B121" s="310"/>
      <c r="C121" s="242" t="s">
        <v>155</v>
      </c>
      <c r="D121" s="242" t="s">
        <v>449</v>
      </c>
      <c r="E121" s="251">
        <v>5523</v>
      </c>
      <c r="F121" s="250"/>
      <c r="H121" s="251">
        <f t="shared" si="3"/>
        <v>0</v>
      </c>
    </row>
    <row r="122" spans="1:16" s="251" customFormat="1" ht="15" customHeight="1" x14ac:dyDescent="0.25">
      <c r="A122" s="368" t="s">
        <v>432</v>
      </c>
      <c r="B122" s="310"/>
      <c r="C122" s="242" t="s">
        <v>475</v>
      </c>
      <c r="D122" s="242" t="s">
        <v>433</v>
      </c>
      <c r="F122" s="250">
        <v>327.75</v>
      </c>
      <c r="H122" s="251">
        <f t="shared" si="3"/>
        <v>327.75</v>
      </c>
    </row>
    <row r="123" spans="1:16" s="251" customFormat="1" ht="15" customHeight="1" x14ac:dyDescent="0.25">
      <c r="A123" s="368" t="s">
        <v>432</v>
      </c>
      <c r="B123" s="310"/>
      <c r="C123" s="242" t="s">
        <v>474</v>
      </c>
      <c r="D123" s="242" t="s">
        <v>434</v>
      </c>
      <c r="F123" s="250">
        <v>3.96</v>
      </c>
      <c r="H123" s="251">
        <f t="shared" ref="H123:H149" si="4">F123-G123</f>
        <v>3.96</v>
      </c>
    </row>
    <row r="124" spans="1:16" s="251" customFormat="1" ht="15" customHeight="1" x14ac:dyDescent="0.25">
      <c r="A124" s="368" t="s">
        <v>432</v>
      </c>
      <c r="B124" s="310"/>
      <c r="C124" s="242" t="s">
        <v>474</v>
      </c>
      <c r="D124" s="242" t="s">
        <v>435</v>
      </c>
      <c r="F124" s="250">
        <v>77.900000000000006</v>
      </c>
      <c r="H124" s="251">
        <f t="shared" si="4"/>
        <v>77.900000000000006</v>
      </c>
    </row>
    <row r="125" spans="1:16" s="251" customFormat="1" ht="15" customHeight="1" x14ac:dyDescent="0.25">
      <c r="A125" s="368" t="s">
        <v>432</v>
      </c>
      <c r="B125" s="310" t="s">
        <v>450</v>
      </c>
      <c r="C125" s="242" t="s">
        <v>437</v>
      </c>
      <c r="D125" s="242" t="s">
        <v>438</v>
      </c>
      <c r="F125" s="250">
        <v>30</v>
      </c>
      <c r="H125" s="251">
        <f t="shared" si="4"/>
        <v>30</v>
      </c>
    </row>
    <row r="126" spans="1:16" s="251" customFormat="1" ht="15" customHeight="1" x14ac:dyDescent="0.25">
      <c r="A126" s="368" t="s">
        <v>432</v>
      </c>
      <c r="B126" s="310">
        <v>1040</v>
      </c>
      <c r="C126" s="242" t="s">
        <v>439</v>
      </c>
      <c r="D126" s="242" t="s">
        <v>440</v>
      </c>
      <c r="F126" s="250">
        <v>1119.5999999999999</v>
      </c>
      <c r="G126" s="251">
        <v>186.6</v>
      </c>
      <c r="H126" s="251">
        <f t="shared" si="4"/>
        <v>932.99999999999989</v>
      </c>
    </row>
    <row r="127" spans="1:16" s="251" customFormat="1" ht="15" customHeight="1" x14ac:dyDescent="0.25">
      <c r="A127" s="368" t="s">
        <v>432</v>
      </c>
      <c r="B127" s="310">
        <v>2239</v>
      </c>
      <c r="C127" s="242" t="s">
        <v>441</v>
      </c>
      <c r="D127" s="242" t="s">
        <v>442</v>
      </c>
      <c r="F127" s="250">
        <v>400</v>
      </c>
      <c r="H127" s="251">
        <f t="shared" si="4"/>
        <v>400</v>
      </c>
    </row>
    <row r="128" spans="1:16" s="251" customFormat="1" ht="15" customHeight="1" x14ac:dyDescent="0.25">
      <c r="A128" s="368" t="s">
        <v>432</v>
      </c>
      <c r="B128" s="310"/>
      <c r="C128" s="242" t="s">
        <v>76</v>
      </c>
      <c r="D128" s="242" t="s">
        <v>443</v>
      </c>
      <c r="F128" s="250">
        <v>20.6</v>
      </c>
      <c r="H128" s="251">
        <f t="shared" si="4"/>
        <v>20.6</v>
      </c>
    </row>
    <row r="129" spans="1:16" s="251" customFormat="1" ht="15" customHeight="1" x14ac:dyDescent="0.25">
      <c r="A129" s="368" t="s">
        <v>444</v>
      </c>
      <c r="B129" s="310">
        <v>342</v>
      </c>
      <c r="C129" s="242" t="s">
        <v>445</v>
      </c>
      <c r="D129" s="242" t="s">
        <v>446</v>
      </c>
      <c r="F129" s="250">
        <v>695</v>
      </c>
      <c r="H129" s="251">
        <f t="shared" si="4"/>
        <v>695</v>
      </c>
    </row>
    <row r="130" spans="1:16" s="251" customFormat="1" ht="15" customHeight="1" x14ac:dyDescent="0.25">
      <c r="A130" s="368" t="s">
        <v>444</v>
      </c>
      <c r="B130" s="310">
        <v>1326</v>
      </c>
      <c r="C130" s="242" t="s">
        <v>447</v>
      </c>
      <c r="D130" s="242" t="s">
        <v>448</v>
      </c>
      <c r="F130" s="250">
        <v>4194</v>
      </c>
      <c r="G130" s="251">
        <v>699</v>
      </c>
      <c r="H130" s="251">
        <f t="shared" si="4"/>
        <v>3495</v>
      </c>
    </row>
    <row r="131" spans="1:16" s="251" customFormat="1" ht="15" customHeight="1" x14ac:dyDescent="0.25">
      <c r="A131" s="368" t="s">
        <v>453</v>
      </c>
      <c r="B131" s="310"/>
      <c r="C131" s="242" t="s">
        <v>476</v>
      </c>
      <c r="D131" s="242" t="s">
        <v>454</v>
      </c>
      <c r="E131" s="251">
        <v>5083.04</v>
      </c>
      <c r="F131" s="250"/>
      <c r="H131" s="251">
        <f t="shared" si="4"/>
        <v>0</v>
      </c>
    </row>
    <row r="132" spans="1:16" ht="15" customHeight="1" x14ac:dyDescent="0.25">
      <c r="A132" s="260" t="s">
        <v>456</v>
      </c>
      <c r="B132" s="261"/>
      <c r="C132" s="262" t="s">
        <v>155</v>
      </c>
      <c r="D132" s="262" t="s">
        <v>455</v>
      </c>
      <c r="E132" s="263">
        <v>5083.04</v>
      </c>
      <c r="F132" s="250">
        <v>0</v>
      </c>
      <c r="G132" s="251"/>
      <c r="H132" s="251"/>
      <c r="I132" s="242"/>
      <c r="J132" s="244"/>
      <c r="K132" s="244"/>
      <c r="L132" s="264"/>
      <c r="M132" s="246"/>
      <c r="N132" s="246"/>
      <c r="O132" s="246"/>
      <c r="P132" s="246"/>
    </row>
    <row r="133" spans="1:16" s="251" customFormat="1" ht="15" customHeight="1" x14ac:dyDescent="0.25">
      <c r="A133" s="368" t="s">
        <v>456</v>
      </c>
      <c r="B133" s="310"/>
      <c r="C133" s="242" t="s">
        <v>155</v>
      </c>
      <c r="D133" s="242" t="s">
        <v>452</v>
      </c>
      <c r="F133" s="250">
        <v>5083.04</v>
      </c>
      <c r="H133" s="251">
        <f t="shared" si="4"/>
        <v>5083.04</v>
      </c>
    </row>
    <row r="134" spans="1:16" s="251" customFormat="1" ht="15" customHeight="1" x14ac:dyDescent="0.25">
      <c r="A134" s="368" t="s">
        <v>457</v>
      </c>
      <c r="B134" s="310"/>
      <c r="C134" s="242" t="s">
        <v>474</v>
      </c>
      <c r="D134" s="242" t="s">
        <v>458</v>
      </c>
      <c r="F134" s="250">
        <v>462.24</v>
      </c>
      <c r="H134" s="251">
        <f t="shared" si="4"/>
        <v>462.24</v>
      </c>
    </row>
    <row r="135" spans="1:16" s="251" customFormat="1" ht="15" customHeight="1" x14ac:dyDescent="0.25">
      <c r="A135" s="368" t="s">
        <v>457</v>
      </c>
      <c r="B135" s="310"/>
      <c r="C135" s="242" t="s">
        <v>474</v>
      </c>
      <c r="D135" s="242" t="s">
        <v>443</v>
      </c>
      <c r="E135" s="251">
        <v>20.6</v>
      </c>
      <c r="F135" s="250"/>
      <c r="H135" s="251">
        <f t="shared" si="4"/>
        <v>0</v>
      </c>
    </row>
    <row r="136" spans="1:16" ht="15" customHeight="1" x14ac:dyDescent="0.25">
      <c r="A136" s="260" t="s">
        <v>459</v>
      </c>
      <c r="B136" s="261"/>
      <c r="C136" s="262" t="s">
        <v>83</v>
      </c>
      <c r="D136" s="262" t="s">
        <v>484</v>
      </c>
      <c r="E136" s="263">
        <v>12.31</v>
      </c>
      <c r="F136" s="250">
        <v>0</v>
      </c>
      <c r="G136" s="251">
        <f>IF($E136&gt;0,'Bank Account'!$G93+$E136,IF($F136&gt;0,'Bank Account'!$G93-$F136,'Bank Account'!$G93))</f>
        <v>12.31</v>
      </c>
      <c r="H136" s="251"/>
      <c r="I136" s="242"/>
      <c r="J136" s="244"/>
      <c r="K136" s="244"/>
      <c r="L136" s="264"/>
      <c r="M136" s="246"/>
      <c r="N136" s="246"/>
      <c r="O136" s="246"/>
      <c r="P136" s="246"/>
    </row>
    <row r="137" spans="1:16" ht="15" customHeight="1" x14ac:dyDescent="0.25">
      <c r="A137" s="260" t="s">
        <v>459</v>
      </c>
      <c r="B137" s="261"/>
      <c r="C137" s="262" t="s">
        <v>83</v>
      </c>
      <c r="D137" s="262" t="s">
        <v>483</v>
      </c>
      <c r="E137" s="263">
        <v>27.2</v>
      </c>
      <c r="F137" s="250"/>
      <c r="G137" s="251"/>
      <c r="H137" s="251"/>
      <c r="I137" s="242"/>
      <c r="J137" s="244"/>
      <c r="K137" s="244"/>
      <c r="L137" s="264"/>
      <c r="M137" s="246"/>
      <c r="N137" s="246"/>
      <c r="O137" s="246"/>
      <c r="P137" s="246"/>
    </row>
    <row r="138" spans="1:16" s="251" customFormat="1" ht="15" customHeight="1" x14ac:dyDescent="0.25">
      <c r="A138" s="368" t="s">
        <v>459</v>
      </c>
      <c r="B138" s="310"/>
      <c r="C138" s="242" t="s">
        <v>170</v>
      </c>
      <c r="D138" s="242" t="s">
        <v>462</v>
      </c>
      <c r="E138" s="251">
        <v>8.9700000000000006</v>
      </c>
      <c r="F138" s="250"/>
      <c r="H138" s="251">
        <f t="shared" si="4"/>
        <v>0</v>
      </c>
    </row>
    <row r="139" spans="1:16" s="251" customFormat="1" ht="15" customHeight="1" x14ac:dyDescent="0.25">
      <c r="A139" s="368" t="s">
        <v>460</v>
      </c>
      <c r="B139" s="310"/>
      <c r="C139" s="242" t="s">
        <v>76</v>
      </c>
      <c r="D139" s="242" t="s">
        <v>461</v>
      </c>
      <c r="E139" s="251">
        <v>1225.5899999999999</v>
      </c>
      <c r="F139" s="250"/>
      <c r="H139" s="251">
        <f t="shared" si="4"/>
        <v>0</v>
      </c>
    </row>
    <row r="140" spans="1:16" s="251" customFormat="1" ht="15" customHeight="1" x14ac:dyDescent="0.25">
      <c r="A140" s="368" t="s">
        <v>463</v>
      </c>
      <c r="B140" s="310"/>
      <c r="C140" s="242" t="s">
        <v>76</v>
      </c>
      <c r="D140" s="242" t="s">
        <v>464</v>
      </c>
      <c r="F140" s="250">
        <v>20.399999999999999</v>
      </c>
      <c r="H140" s="251">
        <f t="shared" si="4"/>
        <v>20.399999999999999</v>
      </c>
    </row>
    <row r="141" spans="1:16" s="251" customFormat="1" ht="15" customHeight="1" x14ac:dyDescent="0.25">
      <c r="A141" s="368" t="s">
        <v>465</v>
      </c>
      <c r="B141" s="310"/>
      <c r="C141" s="242" t="s">
        <v>475</v>
      </c>
      <c r="D141" s="242" t="s">
        <v>466</v>
      </c>
      <c r="F141" s="250">
        <v>276</v>
      </c>
      <c r="H141" s="251">
        <f t="shared" si="4"/>
        <v>276</v>
      </c>
    </row>
    <row r="142" spans="1:16" s="251" customFormat="1" ht="15" customHeight="1" x14ac:dyDescent="0.25">
      <c r="A142" s="368" t="s">
        <v>465</v>
      </c>
      <c r="B142" s="310">
        <v>772</v>
      </c>
      <c r="C142" s="242" t="s">
        <v>308</v>
      </c>
      <c r="D142" s="242" t="s">
        <v>73</v>
      </c>
      <c r="F142" s="250">
        <v>50</v>
      </c>
      <c r="H142" s="251">
        <f t="shared" si="4"/>
        <v>50</v>
      </c>
    </row>
    <row r="143" spans="1:16" s="251" customFormat="1" ht="15" customHeight="1" x14ac:dyDescent="0.25">
      <c r="A143" s="368" t="s">
        <v>465</v>
      </c>
      <c r="B143" s="310"/>
      <c r="C143" s="242" t="s">
        <v>474</v>
      </c>
      <c r="D143" s="242" t="s">
        <v>467</v>
      </c>
      <c r="F143" s="250">
        <v>3.96</v>
      </c>
      <c r="H143" s="251">
        <f t="shared" si="4"/>
        <v>3.96</v>
      </c>
    </row>
    <row r="144" spans="1:16" s="251" customFormat="1" ht="15" customHeight="1" x14ac:dyDescent="0.25">
      <c r="A144" s="368" t="s">
        <v>468</v>
      </c>
      <c r="B144" s="310"/>
      <c r="C144" s="242" t="s">
        <v>170</v>
      </c>
      <c r="D144" s="242" t="s">
        <v>473</v>
      </c>
      <c r="E144" s="251">
        <v>7.38</v>
      </c>
      <c r="F144" s="250"/>
      <c r="H144" s="251">
        <f t="shared" si="4"/>
        <v>0</v>
      </c>
    </row>
    <row r="145" spans="1:8 16333:16333" s="251" customFormat="1" ht="15" customHeight="1" x14ac:dyDescent="0.25">
      <c r="A145" s="368" t="s">
        <v>468</v>
      </c>
      <c r="B145" s="310"/>
      <c r="C145" s="242" t="s">
        <v>474</v>
      </c>
      <c r="D145" s="242" t="s">
        <v>469</v>
      </c>
      <c r="F145" s="250">
        <v>77.900000000000006</v>
      </c>
      <c r="H145" s="251">
        <f t="shared" si="4"/>
        <v>77.900000000000006</v>
      </c>
    </row>
    <row r="146" spans="1:8 16333:16333" s="251" customFormat="1" ht="15" customHeight="1" x14ac:dyDescent="0.25">
      <c r="A146" s="368" t="s">
        <v>468</v>
      </c>
      <c r="B146" s="310"/>
      <c r="C146" s="242" t="s">
        <v>474</v>
      </c>
      <c r="D146" s="242" t="s">
        <v>470</v>
      </c>
      <c r="F146" s="250">
        <v>462.24</v>
      </c>
      <c r="H146" s="251">
        <f t="shared" si="4"/>
        <v>462.24</v>
      </c>
    </row>
    <row r="147" spans="1:8 16333:16333" s="251" customFormat="1" ht="15" customHeight="1" x14ac:dyDescent="0.25">
      <c r="A147" s="368" t="s">
        <v>468</v>
      </c>
      <c r="B147" s="310"/>
      <c r="C147" s="242" t="s">
        <v>474</v>
      </c>
      <c r="D147" s="242" t="s">
        <v>464</v>
      </c>
      <c r="E147" s="251">
        <v>20.399999999999999</v>
      </c>
      <c r="F147" s="250"/>
      <c r="H147" s="251">
        <f t="shared" si="4"/>
        <v>0</v>
      </c>
    </row>
    <row r="148" spans="1:8 16333:16333" s="251" customFormat="1" ht="15" customHeight="1" x14ac:dyDescent="0.25">
      <c r="A148" s="368"/>
      <c r="B148" s="310"/>
      <c r="C148" s="242"/>
      <c r="D148" s="242"/>
      <c r="F148" s="250"/>
      <c r="H148" s="251">
        <f t="shared" si="4"/>
        <v>0</v>
      </c>
    </row>
    <row r="149" spans="1:8 16333:16333" s="251" customFormat="1" ht="15" customHeight="1" x14ac:dyDescent="0.25">
      <c r="A149" s="368"/>
      <c r="B149" s="310"/>
      <c r="C149" s="242"/>
      <c r="D149" s="242"/>
      <c r="E149" s="251">
        <f>SUM(E6:E148)</f>
        <v>44437.639999999992</v>
      </c>
      <c r="F149" s="250">
        <f>SUM(F6:F148)</f>
        <v>47731.46</v>
      </c>
      <c r="G149" s="251">
        <f>SUM(G6:G148)</f>
        <v>2476.9100000000003</v>
      </c>
      <c r="H149" s="251">
        <f t="shared" si="4"/>
        <v>45254.549999999996</v>
      </c>
      <c r="XDE149" s="251">
        <f>SUM(I149:XDD149)</f>
        <v>0</v>
      </c>
    </row>
    <row r="150" spans="1:8 16333:16333" s="251" customFormat="1" ht="15" customHeight="1" x14ac:dyDescent="0.25">
      <c r="A150" s="368"/>
      <c r="B150" s="310"/>
      <c r="C150" s="242"/>
      <c r="D150" s="242"/>
      <c r="F150" s="250"/>
    </row>
    <row r="151" spans="1:8 16333:16333" s="240" customFormat="1" ht="15" customHeight="1" x14ac:dyDescent="0.25">
      <c r="A151" s="365"/>
      <c r="B151" s="311"/>
      <c r="E151" s="357">
        <f>SUM(E149-E153)</f>
        <v>35001.739999999991</v>
      </c>
      <c r="F151" s="274">
        <f>SUM(F149-F153)</f>
        <v>39681</v>
      </c>
      <c r="G151" s="269">
        <f>G149</f>
        <v>2476.9100000000003</v>
      </c>
      <c r="H151" s="269">
        <f>H149</f>
        <v>45254.549999999996</v>
      </c>
    </row>
    <row r="153" spans="1:8 16333:16333" s="240" customFormat="1" ht="15" customHeight="1" x14ac:dyDescent="0.25">
      <c r="A153" s="365"/>
      <c r="B153" s="311"/>
      <c r="D153" s="269" t="s">
        <v>156</v>
      </c>
      <c r="E153" s="269">
        <f>SUM(E154:E156)</f>
        <v>9435.9</v>
      </c>
      <c r="F153" s="268">
        <f>SUM(F154:F156)</f>
        <v>8050.46</v>
      </c>
      <c r="G153" s="269"/>
      <c r="H153" s="269"/>
    </row>
    <row r="154" spans="1:8 16333:16333" ht="15" customHeight="1" x14ac:dyDescent="0.25">
      <c r="E154" s="242">
        <v>2246.4</v>
      </c>
      <c r="F154" s="243">
        <v>1967.42</v>
      </c>
    </row>
    <row r="155" spans="1:8 16333:16333" ht="15" customHeight="1" x14ac:dyDescent="0.25">
      <c r="E155" s="242">
        <v>1666.5</v>
      </c>
      <c r="F155" s="243">
        <v>1000</v>
      </c>
    </row>
    <row r="156" spans="1:8 16333:16333" ht="15" customHeight="1" x14ac:dyDescent="0.25">
      <c r="E156" s="242">
        <v>5523</v>
      </c>
      <c r="F156" s="243">
        <v>5083.04</v>
      </c>
    </row>
  </sheetData>
  <autoFilter ref="A1:H151" xr:uid="{00000000-0001-0000-0100-000000000000}"/>
  <phoneticPr fontId="6" type="noConversion"/>
  <conditionalFormatting sqref="E7:E9 E11 E13 E15 E18:E19 E22:E27 E29 E32:E44 E48 E50 E59:E64 E66:E92 E95:E112 E114:E119 E121:E131 E133:E135 E138:E148">
    <cfRule type="expression" dxfId="31" priority="96">
      <formula>AND(#REF!&lt;&gt;$E7,#REF!&lt;&gt;$E7)</formula>
    </cfRule>
  </conditionalFormatting>
  <conditionalFormatting sqref="H6:H19 E7:E9 E11 E13 A14:XFD19 A22:XFD51 A54:XFD64 A66:XFD92 A95:XFD112 A114:XFD119 A121:XFD131 A133:XFD135 A138:XFD150">
    <cfRule type="expression" dxfId="30" priority="39">
      <formula>LEFT(#REF!,1)="R"</formula>
    </cfRule>
  </conditionalFormatting>
  <conditionalFormatting sqref="H6:H19 H22:H51 H54:H64 H66:H92 H95:H112 H114:H119 H121:H131 H133:H135 H138:H149">
    <cfRule type="cellIs" dxfId="29" priority="95" operator="notEqual">
      <formula>#REF!</formula>
    </cfRule>
  </conditionalFormatting>
  <conditionalFormatting sqref="A52:F52">
    <cfRule type="expression" dxfId="28" priority="20">
      <formula>LEFT(#REF!,1)="R"</formula>
    </cfRule>
  </conditionalFormatting>
  <conditionalFormatting sqref="G52:XFD52">
    <cfRule type="expression" dxfId="27" priority="21">
      <formula>LEFT(#REF!,1)="R"</formula>
    </cfRule>
  </conditionalFormatting>
  <conditionalFormatting sqref="A65:P65">
    <cfRule type="expression" dxfId="26" priority="18">
      <formula>LEFT(#REF!,1)="R"</formula>
    </cfRule>
  </conditionalFormatting>
  <conditionalFormatting sqref="E65">
    <cfRule type="expression" dxfId="25" priority="19">
      <formula>AND(#REF!&lt;&gt;$E65,$P65&lt;&gt;$E65)</formula>
    </cfRule>
  </conditionalFormatting>
  <conditionalFormatting sqref="A94:P94">
    <cfRule type="expression" dxfId="24" priority="16">
      <formula>LEFT(#REF!,1)="R"</formula>
    </cfRule>
  </conditionalFormatting>
  <conditionalFormatting sqref="E94">
    <cfRule type="expression" dxfId="23" priority="17">
      <formula>AND(#REF!&lt;&gt;$E94,$P94&lt;&gt;$E94)</formula>
    </cfRule>
  </conditionalFormatting>
  <conditionalFormatting sqref="A113:F113 H113:P113">
    <cfRule type="expression" dxfId="22" priority="14">
      <formula>LEFT(#REF!,1)="R"</formula>
    </cfRule>
  </conditionalFormatting>
  <conditionalFormatting sqref="E113">
    <cfRule type="expression" dxfId="21" priority="15">
      <formula>AND(#REF!&lt;&gt;$E113,$P113&lt;&gt;$E113)</formula>
    </cfRule>
  </conditionalFormatting>
  <conditionalFormatting sqref="H120:P120 A120:F120">
    <cfRule type="expression" dxfId="20" priority="12">
      <formula>LEFT(#REF!,1)="R"</formula>
    </cfRule>
  </conditionalFormatting>
  <conditionalFormatting sqref="E120">
    <cfRule type="expression" dxfId="19" priority="13">
      <formula>AND(#REF!&lt;&gt;$E120,$P120&lt;&gt;$E120)</formula>
    </cfRule>
  </conditionalFormatting>
  <conditionalFormatting sqref="H132:P132 A132:F132">
    <cfRule type="expression" dxfId="18" priority="10">
      <formula>LEFT(#REF!,1)="R"</formula>
    </cfRule>
  </conditionalFormatting>
  <conditionalFormatting sqref="E132">
    <cfRule type="expression" dxfId="17" priority="11">
      <formula>AND(#REF!&lt;&gt;$E132,$P132&lt;&gt;$E132)</formula>
    </cfRule>
  </conditionalFormatting>
  <conditionalFormatting sqref="G132">
    <cfRule type="expression" dxfId="16" priority="9">
      <formula>LEFT(#REF!,1)="R"</formula>
    </cfRule>
  </conditionalFormatting>
  <conditionalFormatting sqref="H137:P137 A137:F137">
    <cfRule type="expression" dxfId="15" priority="7">
      <formula>LEFT(#REF!,1)="R"</formula>
    </cfRule>
  </conditionalFormatting>
  <conditionalFormatting sqref="E137">
    <cfRule type="expression" dxfId="14" priority="8">
      <formula>AND(#REF!&lt;&gt;$E137,$P137&lt;&gt;$E137)</formula>
    </cfRule>
  </conditionalFormatting>
  <conditionalFormatting sqref="G137">
    <cfRule type="expression" dxfId="13" priority="6">
      <formula>LEFT(#REF!,1)="R"</formula>
    </cfRule>
  </conditionalFormatting>
  <conditionalFormatting sqref="A53:XFD53">
    <cfRule type="expression" dxfId="12" priority="5">
      <formula>LEFT(#REF!,1)="R"</formula>
    </cfRule>
  </conditionalFormatting>
  <conditionalFormatting sqref="E93">
    <cfRule type="expression" dxfId="11" priority="3">
      <formula>AND(#REF!&lt;&gt;$E93,$P93&lt;&gt;$E93)</formula>
    </cfRule>
  </conditionalFormatting>
  <conditionalFormatting sqref="A93:P93">
    <cfRule type="expression" dxfId="10" priority="4">
      <formula>LEFT(#REF!,1)="R"</formula>
    </cfRule>
  </conditionalFormatting>
  <conditionalFormatting sqref="E136">
    <cfRule type="expression" dxfId="9" priority="1">
      <formula>AND(#REF!&lt;&gt;$E136,$P136&lt;&gt;$E136)</formula>
    </cfRule>
  </conditionalFormatting>
  <conditionalFormatting sqref="A136:P136">
    <cfRule type="expression" dxfId="8" priority="2">
      <formula>LEFT(#REF!,1)="R"</formula>
    </cfRule>
  </conditionalFormatting>
  <dataValidations count="1">
    <dataValidation type="list" allowBlank="1" showInputMessage="1" showErrorMessage="1" sqref="H120 H65 H93:H94 H113 H52:H53 H136" xr:uid="{6FEB5447-BFB5-4176-B0D4-EFE5A1A788CB}">
      <formula1>"BACS, DD, CHQ, SO"</formula1>
    </dataValidation>
  </dataValidations>
  <pageMargins left="0.70866141732283472" right="0.70866141732283472" top="0.74803149606299213" bottom="0.74803149606299213" header="0.31496062992125984" footer="0.31496062992125984"/>
  <pageSetup paperSize="9" scale="55" fitToHeight="0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6B00B-7BBD-46FD-B17B-C7AF4A18AB37}">
  <sheetPr>
    <tabColor rgb="FF7030A0"/>
    <pageSetUpPr fitToPage="1"/>
  </sheetPr>
  <dimension ref="A1:P18"/>
  <sheetViews>
    <sheetView zoomScale="90" zoomScaleNormal="90" workbookViewId="0">
      <pane ySplit="3" topLeftCell="A4" activePane="bottomLeft" state="frozen"/>
      <selection activeCell="O15" sqref="O15"/>
      <selection pane="bottomLeft" activeCell="O15" sqref="O15"/>
    </sheetView>
  </sheetViews>
  <sheetFormatPr defaultColWidth="9.140625" defaultRowHeight="15" x14ac:dyDescent="0.25"/>
  <cols>
    <col min="1" max="1" width="4.85546875" style="239" customWidth="1"/>
    <col min="2" max="3" width="12.7109375" style="241" customWidth="1"/>
    <col min="4" max="4" width="18.85546875" style="241" customWidth="1"/>
    <col min="5" max="5" width="27.42578125" style="241" customWidth="1"/>
    <col min="6" max="6" width="11.42578125" style="242" customWidth="1"/>
    <col min="7" max="7" width="11.42578125" style="243" customWidth="1"/>
    <col min="8" max="9" width="11.42578125" style="242" customWidth="1"/>
    <col min="10" max="11" width="9.7109375" style="244" customWidth="1"/>
    <col min="12" max="12" width="11" style="245" customWidth="1"/>
    <col min="13" max="15" width="9.140625" style="246"/>
    <col min="16" max="16384" width="9.140625" style="241"/>
  </cols>
  <sheetData>
    <row r="1" spans="1:16" ht="15" customHeight="1" x14ac:dyDescent="0.25">
      <c r="B1" s="240" t="s">
        <v>125</v>
      </c>
      <c r="C1" s="240"/>
    </row>
    <row r="2" spans="1:16" ht="15.75" customHeight="1" x14ac:dyDescent="0.25">
      <c r="B2" s="240"/>
      <c r="C2" s="240"/>
    </row>
    <row r="3" spans="1:16" ht="75" customHeight="1" x14ac:dyDescent="0.25">
      <c r="B3" s="249" t="s">
        <v>0</v>
      </c>
      <c r="C3" s="249" t="s">
        <v>1</v>
      </c>
      <c r="D3" s="241" t="s">
        <v>9</v>
      </c>
      <c r="E3" s="241" t="s">
        <v>10</v>
      </c>
      <c r="F3" s="242" t="s">
        <v>153</v>
      </c>
      <c r="G3" s="250" t="s">
        <v>15</v>
      </c>
      <c r="H3" s="251" t="s">
        <v>3</v>
      </c>
      <c r="I3" s="252" t="s">
        <v>4</v>
      </c>
      <c r="J3" s="253"/>
      <c r="K3" s="254"/>
      <c r="L3" s="255"/>
      <c r="M3" s="256"/>
      <c r="N3" s="256"/>
      <c r="O3" s="256"/>
    </row>
    <row r="4" spans="1:16" ht="15" customHeight="1" x14ac:dyDescent="0.25">
      <c r="G4" s="250"/>
      <c r="H4" s="251"/>
      <c r="I4" s="251"/>
      <c r="J4" s="257"/>
      <c r="K4" s="257"/>
      <c r="L4" s="258"/>
    </row>
    <row r="5" spans="1:16" ht="15" customHeight="1" x14ac:dyDescent="0.25">
      <c r="B5" s="241" t="s">
        <v>0</v>
      </c>
      <c r="D5" s="241" t="s">
        <v>6</v>
      </c>
      <c r="E5" s="241" t="s">
        <v>10</v>
      </c>
      <c r="G5" s="250" t="s">
        <v>2</v>
      </c>
      <c r="H5" s="251" t="s">
        <v>3</v>
      </c>
      <c r="I5" s="251" t="s">
        <v>4</v>
      </c>
    </row>
    <row r="6" spans="1:16" ht="15" customHeight="1" x14ac:dyDescent="0.25">
      <c r="A6" t="s">
        <v>78</v>
      </c>
      <c r="B6" s="260" t="s">
        <v>210</v>
      </c>
      <c r="C6" s="309">
        <v>366486</v>
      </c>
      <c r="D6" s="241" t="s">
        <v>211</v>
      </c>
      <c r="E6" s="241" t="s">
        <v>212</v>
      </c>
      <c r="F6" s="263"/>
      <c r="G6" s="273">
        <v>109.95</v>
      </c>
      <c r="H6" s="251"/>
      <c r="L6" s="244"/>
      <c r="P6" s="246"/>
    </row>
    <row r="7" spans="1:16" ht="15" customHeight="1" x14ac:dyDescent="0.25">
      <c r="A7" t="s">
        <v>79</v>
      </c>
      <c r="B7" s="260" t="s">
        <v>213</v>
      </c>
      <c r="C7" s="309">
        <v>122</v>
      </c>
      <c r="D7" s="241" t="s">
        <v>214</v>
      </c>
      <c r="E7" s="241" t="s">
        <v>215</v>
      </c>
      <c r="F7" s="263"/>
      <c r="G7" s="273">
        <v>340.5</v>
      </c>
      <c r="H7" s="251"/>
      <c r="L7" s="244"/>
      <c r="P7" s="246"/>
    </row>
    <row r="8" spans="1:16" ht="15" customHeight="1" x14ac:dyDescent="0.25">
      <c r="A8" t="s">
        <v>80</v>
      </c>
      <c r="B8" s="260" t="s">
        <v>213</v>
      </c>
      <c r="C8" s="309">
        <v>2932327</v>
      </c>
      <c r="D8" s="241" t="s">
        <v>216</v>
      </c>
      <c r="E8" s="241" t="s">
        <v>217</v>
      </c>
      <c r="F8" s="263"/>
      <c r="G8" s="273">
        <v>153.6</v>
      </c>
      <c r="H8" s="251"/>
      <c r="L8" s="264"/>
      <c r="P8" s="246"/>
    </row>
    <row r="9" spans="1:16" ht="15" customHeight="1" x14ac:dyDescent="0.25">
      <c r="A9" t="s">
        <v>81</v>
      </c>
      <c r="B9" s="260" t="s">
        <v>225</v>
      </c>
      <c r="C9" s="309">
        <v>2931393</v>
      </c>
      <c r="D9" s="241" t="s">
        <v>216</v>
      </c>
      <c r="E9" s="241" t="s">
        <v>217</v>
      </c>
      <c r="F9" s="263"/>
      <c r="G9" s="273">
        <v>76.8</v>
      </c>
      <c r="H9" s="251"/>
      <c r="L9" s="264"/>
      <c r="P9" s="246"/>
    </row>
    <row r="10" spans="1:16" ht="15" customHeight="1" x14ac:dyDescent="0.25">
      <c r="A10" t="s">
        <v>77</v>
      </c>
      <c r="B10" s="260" t="s">
        <v>275</v>
      </c>
      <c r="C10" s="309"/>
      <c r="D10" s="241" t="s">
        <v>86</v>
      </c>
      <c r="E10" s="241" t="s">
        <v>276</v>
      </c>
      <c r="F10" s="263">
        <v>815.8</v>
      </c>
      <c r="G10" s="273">
        <v>0</v>
      </c>
      <c r="H10" s="251"/>
      <c r="L10" s="264"/>
      <c r="P10" s="246"/>
    </row>
    <row r="11" spans="1:16" ht="15" customHeight="1" x14ac:dyDescent="0.25">
      <c r="A11" s="259"/>
      <c r="B11" s="260"/>
      <c r="C11" s="261"/>
      <c r="D11" s="262"/>
      <c r="E11" s="262"/>
      <c r="F11" s="263"/>
      <c r="G11" s="250">
        <v>0</v>
      </c>
      <c r="H11" s="251"/>
      <c r="L11" s="264"/>
      <c r="P11" s="246"/>
    </row>
    <row r="12" spans="1:16" ht="15" customHeight="1" thickBot="1" x14ac:dyDescent="0.3">
      <c r="F12" s="265">
        <f>SUM(F6:F11)</f>
        <v>815.8</v>
      </c>
      <c r="G12" s="266">
        <f>SUM(G6:G11)</f>
        <v>680.84999999999991</v>
      </c>
      <c r="H12" s="265">
        <f>SUM(H6:H11)</f>
        <v>0</v>
      </c>
      <c r="I12" s="265">
        <f>SUM(I6:I11)</f>
        <v>0</v>
      </c>
      <c r="J12" s="267"/>
      <c r="K12" s="267"/>
      <c r="L12" s="267"/>
      <c r="P12" s="246"/>
    </row>
    <row r="13" spans="1:16" ht="15" customHeight="1" thickTop="1" x14ac:dyDescent="0.25">
      <c r="G13" s="268"/>
      <c r="H13" s="269"/>
      <c r="I13" s="269"/>
      <c r="J13" s="267"/>
      <c r="K13" s="267"/>
      <c r="L13" s="267"/>
    </row>
    <row r="14" spans="1:16" s="240" customFormat="1" ht="15" customHeight="1" x14ac:dyDescent="0.25">
      <c r="A14" s="270"/>
      <c r="B14" s="240" t="s">
        <v>7</v>
      </c>
      <c r="F14" s="269">
        <f>SUM(F12)</f>
        <v>815.8</v>
      </c>
      <c r="G14" s="268">
        <f>G12</f>
        <v>680.84999999999991</v>
      </c>
      <c r="H14" s="269">
        <f>H12</f>
        <v>0</v>
      </c>
      <c r="I14" s="269">
        <f>I12</f>
        <v>0</v>
      </c>
      <c r="J14" s="248"/>
      <c r="K14" s="248"/>
      <c r="L14" s="248"/>
      <c r="M14" s="271"/>
      <c r="N14" s="271"/>
      <c r="O14" s="271"/>
      <c r="P14" s="271"/>
    </row>
    <row r="15" spans="1:16" ht="15" customHeight="1" x14ac:dyDescent="0.25">
      <c r="E15" s="269"/>
      <c r="F15" s="243"/>
      <c r="J15" s="267"/>
      <c r="K15" s="267"/>
      <c r="L15" s="267"/>
    </row>
    <row r="16" spans="1:16" s="240" customFormat="1" ht="15" customHeight="1" x14ac:dyDescent="0.25">
      <c r="A16" s="270"/>
      <c r="F16" s="269"/>
      <c r="G16" s="268"/>
      <c r="H16" s="269"/>
      <c r="I16" s="269"/>
      <c r="J16" s="248"/>
      <c r="K16" s="248"/>
      <c r="L16" s="248"/>
      <c r="M16" s="271"/>
      <c r="N16" s="271"/>
      <c r="O16" s="271"/>
    </row>
    <row r="17" spans="2:16" ht="15" customHeight="1" x14ac:dyDescent="0.25">
      <c r="M17" s="272"/>
      <c r="N17" s="271"/>
    </row>
    <row r="18" spans="2:16" s="239" customFormat="1" ht="15" customHeight="1" x14ac:dyDescent="0.25">
      <c r="B18" s="241"/>
      <c r="C18" s="241"/>
      <c r="D18" s="241"/>
      <c r="E18" s="241"/>
      <c r="F18" s="242"/>
      <c r="G18" s="243"/>
      <c r="H18" s="242"/>
      <c r="I18" s="242"/>
      <c r="J18" s="244"/>
      <c r="K18" s="244"/>
      <c r="L18" s="245"/>
      <c r="M18" s="246"/>
      <c r="N18" s="246"/>
      <c r="O18" s="246"/>
      <c r="P18" s="241"/>
    </row>
  </sheetData>
  <conditionalFormatting sqref="F7:F11">
    <cfRule type="expression" dxfId="7" priority="38">
      <formula>AND(#REF!&lt;&gt;$F7,$P7&lt;&gt;$F7)</formula>
    </cfRule>
  </conditionalFormatting>
  <conditionalFormatting sqref="G6:P6 A7:P11">
    <cfRule type="expression" dxfId="6" priority="1">
      <formula>LEFT($A6,1)="R"</formula>
    </cfRule>
  </conditionalFormatting>
  <dataValidations count="1">
    <dataValidation type="list" allowBlank="1" showInputMessage="1" showErrorMessage="1" sqref="H6:H10" xr:uid="{DB5F8BF4-43E8-490F-B292-8B0DF28F87B6}">
      <formula1>"BACS, DD, CHQ, SO"</formula1>
    </dataValidation>
  </dataValidations>
  <pageMargins left="0.70866141732283472" right="0.70866141732283472" top="0.74803149606299213" bottom="0.74803149606299213" header="0.31496062992125984" footer="0.31496062992125984"/>
  <pageSetup paperSize="9" scale="67" fitToHeight="0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44"/>
  <sheetViews>
    <sheetView zoomScale="80" zoomScaleNormal="80" workbookViewId="0">
      <selection activeCell="O15" sqref="O15"/>
    </sheetView>
  </sheetViews>
  <sheetFormatPr defaultColWidth="8.7109375" defaultRowHeight="15.75" x14ac:dyDescent="0.25"/>
  <cols>
    <col min="1" max="1" width="54.140625" style="31" customWidth="1"/>
    <col min="2" max="2" width="13.42578125" style="31" customWidth="1"/>
    <col min="3" max="3" width="19.140625" style="42" bestFit="1" customWidth="1"/>
    <col min="4" max="4" width="15.5703125" style="33" customWidth="1"/>
    <col min="5" max="5" width="17.28515625" style="31" customWidth="1"/>
    <col min="6" max="6" width="52.85546875" style="31" customWidth="1"/>
    <col min="7" max="7" width="8.7109375" style="31"/>
    <col min="8" max="8" width="21.5703125" style="31" customWidth="1"/>
    <col min="9" max="9" width="17.7109375" style="31" customWidth="1"/>
    <col min="10" max="16384" width="8.7109375" style="31"/>
  </cols>
  <sheetData>
    <row r="1" spans="1:4" x14ac:dyDescent="0.25">
      <c r="A1" s="386" t="s">
        <v>201</v>
      </c>
      <c r="B1" s="386"/>
      <c r="C1" s="386"/>
      <c r="D1" s="386"/>
    </row>
    <row r="2" spans="1:4" x14ac:dyDescent="0.25">
      <c r="A2" s="386" t="s">
        <v>202</v>
      </c>
      <c r="B2" s="386"/>
      <c r="C2" s="386"/>
      <c r="D2" s="386"/>
    </row>
    <row r="4" spans="1:4" x14ac:dyDescent="0.25">
      <c r="A4" s="32" t="s">
        <v>203</v>
      </c>
      <c r="B4" s="32"/>
      <c r="C4" s="33"/>
    </row>
    <row r="5" spans="1:4" x14ac:dyDescent="0.25">
      <c r="A5" s="34"/>
      <c r="B5" s="34"/>
      <c r="C5" s="33"/>
    </row>
    <row r="6" spans="1:4" x14ac:dyDescent="0.25">
      <c r="A6" s="34" t="s">
        <v>40</v>
      </c>
      <c r="B6" s="34"/>
      <c r="C6" s="35">
        <v>45747</v>
      </c>
    </row>
    <row r="7" spans="1:4" x14ac:dyDescent="0.25">
      <c r="A7" s="34"/>
      <c r="B7" s="34"/>
      <c r="C7" s="33"/>
    </row>
    <row r="8" spans="1:4" x14ac:dyDescent="0.25">
      <c r="A8" s="113" t="s">
        <v>123</v>
      </c>
      <c r="B8" s="210">
        <v>45747</v>
      </c>
      <c r="C8" s="33"/>
    </row>
    <row r="9" spans="1:4" x14ac:dyDescent="0.25">
      <c r="A9" s="36"/>
      <c r="B9" s="36"/>
      <c r="C9" s="33"/>
    </row>
    <row r="10" spans="1:4" x14ac:dyDescent="0.25">
      <c r="A10" s="34" t="s">
        <v>39</v>
      </c>
      <c r="B10" s="34"/>
      <c r="C10" s="37">
        <v>1322.06</v>
      </c>
    </row>
    <row r="11" spans="1:4" x14ac:dyDescent="0.25">
      <c r="A11" s="34" t="s">
        <v>193</v>
      </c>
      <c r="B11" s="36"/>
      <c r="C11" s="33">
        <v>3491.16</v>
      </c>
    </row>
    <row r="12" spans="1:4" x14ac:dyDescent="0.25">
      <c r="A12" s="34" t="s">
        <v>204</v>
      </c>
      <c r="B12" s="34"/>
      <c r="C12" s="37">
        <v>7645.29</v>
      </c>
    </row>
    <row r="13" spans="1:4" x14ac:dyDescent="0.25">
      <c r="A13" s="34"/>
      <c r="B13" s="34"/>
      <c r="C13" s="38"/>
      <c r="D13" s="33">
        <f>SUM(C10:C12)</f>
        <v>12458.509999999998</v>
      </c>
    </row>
    <row r="14" spans="1:4" x14ac:dyDescent="0.25">
      <c r="A14" s="34"/>
      <c r="B14" s="34"/>
      <c r="C14" s="33"/>
    </row>
    <row r="15" spans="1:4" x14ac:dyDescent="0.25">
      <c r="A15" s="34" t="s">
        <v>14</v>
      </c>
      <c r="B15" s="34"/>
      <c r="C15" s="33"/>
    </row>
    <row r="16" spans="1:4" x14ac:dyDescent="0.25">
      <c r="A16" s="34" t="s">
        <v>15</v>
      </c>
      <c r="B16" s="306"/>
      <c r="C16" s="39">
        <v>0</v>
      </c>
    </row>
    <row r="17" spans="1:4" x14ac:dyDescent="0.25">
      <c r="A17" s="34"/>
      <c r="B17" s="34"/>
      <c r="C17" s="34"/>
    </row>
    <row r="18" spans="1:4" x14ac:dyDescent="0.25">
      <c r="A18" s="34"/>
      <c r="B18" s="306"/>
      <c r="C18" s="39"/>
    </row>
    <row r="19" spans="1:4" x14ac:dyDescent="0.25">
      <c r="A19" s="34"/>
      <c r="B19" s="34"/>
      <c r="C19" s="38"/>
      <c r="D19" s="33">
        <f>SUM(C15:C18)</f>
        <v>0</v>
      </c>
    </row>
    <row r="20" spans="1:4" x14ac:dyDescent="0.25">
      <c r="A20" s="34"/>
      <c r="B20" s="34"/>
      <c r="C20" s="33"/>
    </row>
    <row r="21" spans="1:4" ht="16.5" thickBot="1" x14ac:dyDescent="0.3">
      <c r="A21" s="114" t="s">
        <v>124</v>
      </c>
      <c r="B21" s="307">
        <f>SUM(B8)</f>
        <v>45747</v>
      </c>
      <c r="C21" s="33"/>
      <c r="D21" s="40">
        <f>+D13-D19</f>
        <v>12458.509999999998</v>
      </c>
    </row>
    <row r="22" spans="1:4" ht="16.5" thickTop="1" x14ac:dyDescent="0.25">
      <c r="A22" s="34"/>
      <c r="B22" s="34"/>
      <c r="C22" s="33"/>
    </row>
    <row r="23" spans="1:4" x14ac:dyDescent="0.25">
      <c r="A23" s="34"/>
      <c r="B23" s="34"/>
      <c r="C23" s="33"/>
      <c r="D23" s="41"/>
    </row>
    <row r="24" spans="1:4" x14ac:dyDescent="0.25">
      <c r="A24" s="32" t="s">
        <v>16</v>
      </c>
      <c r="B24" s="34"/>
      <c r="C24" s="33"/>
      <c r="D24" s="41"/>
    </row>
    <row r="25" spans="1:4" x14ac:dyDescent="0.25">
      <c r="A25" s="34"/>
      <c r="B25" s="34"/>
      <c r="C25" s="33"/>
      <c r="D25" s="41"/>
    </row>
    <row r="26" spans="1:4" x14ac:dyDescent="0.25">
      <c r="A26" s="34" t="s">
        <v>205</v>
      </c>
      <c r="B26" s="34"/>
      <c r="C26" s="33"/>
      <c r="D26" s="237">
        <v>3348.11</v>
      </c>
    </row>
    <row r="27" spans="1:4" x14ac:dyDescent="0.25">
      <c r="A27" s="34" t="s">
        <v>206</v>
      </c>
      <c r="B27" s="34"/>
      <c r="C27" s="33"/>
      <c r="D27" s="237">
        <v>3457.22</v>
      </c>
    </row>
    <row r="28" spans="1:4" x14ac:dyDescent="0.25">
      <c r="A28" s="34" t="s">
        <v>207</v>
      </c>
      <c r="B28" s="34"/>
      <c r="C28" s="33"/>
      <c r="D28" s="237">
        <v>8947</v>
      </c>
    </row>
    <row r="29" spans="1:4" x14ac:dyDescent="0.25">
      <c r="A29" s="32" t="s">
        <v>154</v>
      </c>
      <c r="B29" s="32"/>
      <c r="C29" s="41"/>
      <c r="D29" s="238">
        <f>SUM(D26:D28)</f>
        <v>15752.33</v>
      </c>
    </row>
    <row r="30" spans="1:4" x14ac:dyDescent="0.25">
      <c r="A30" s="34" t="s">
        <v>157</v>
      </c>
      <c r="B30" s="34"/>
      <c r="C30" s="33"/>
      <c r="D30" s="37">
        <f>SUM('Bank Account'!E151)</f>
        <v>35001.739999999991</v>
      </c>
    </row>
    <row r="31" spans="1:4" x14ac:dyDescent="0.25">
      <c r="A31" s="34" t="s">
        <v>158</v>
      </c>
      <c r="B31" s="34"/>
      <c r="C31" s="33"/>
      <c r="D31" s="37" t="e">
        <f>SUM(#REF!)</f>
        <v>#REF!</v>
      </c>
    </row>
    <row r="32" spans="1:4" x14ac:dyDescent="0.25">
      <c r="A32" s="34" t="s">
        <v>290</v>
      </c>
      <c r="B32" s="34"/>
      <c r="C32" s="33"/>
      <c r="D32" s="37" t="e">
        <f>SUM(#REF!)</f>
        <v>#REF!</v>
      </c>
    </row>
    <row r="33" spans="1:9" x14ac:dyDescent="0.25">
      <c r="A33" s="34" t="s">
        <v>159</v>
      </c>
      <c r="B33" s="34"/>
      <c r="C33" s="33"/>
      <c r="D33" s="37">
        <f>SUM('Bank Account'!F151)</f>
        <v>39681</v>
      </c>
    </row>
    <row r="34" spans="1:9" x14ac:dyDescent="0.25">
      <c r="A34" s="34" t="s">
        <v>291</v>
      </c>
      <c r="B34" s="34"/>
      <c r="C34" s="33"/>
      <c r="D34" s="33" t="e">
        <f>SUM(#REF!)</f>
        <v>#REF!</v>
      </c>
    </row>
    <row r="35" spans="1:9" x14ac:dyDescent="0.25">
      <c r="A35" s="34" t="s">
        <v>292</v>
      </c>
      <c r="B35" s="34"/>
      <c r="C35" s="33"/>
      <c r="D35" s="33" t="e">
        <f>SUM(#REF!)</f>
        <v>#REF!</v>
      </c>
    </row>
    <row r="36" spans="1:9" x14ac:dyDescent="0.25">
      <c r="A36" s="34"/>
      <c r="B36" s="34"/>
      <c r="C36" s="33"/>
      <c r="D36" s="41"/>
    </row>
    <row r="37" spans="1:9" s="34" customFormat="1" ht="16.5" thickBot="1" x14ac:dyDescent="0.3">
      <c r="A37" s="114" t="s">
        <v>208</v>
      </c>
      <c r="B37" s="308">
        <f>SUM(B8)</f>
        <v>45747</v>
      </c>
      <c r="C37" s="33"/>
      <c r="D37" s="40" t="e">
        <f>+D29+D30+D31+D32-D33-D34-D35</f>
        <v>#REF!</v>
      </c>
      <c r="F37" s="31"/>
      <c r="G37" s="31"/>
      <c r="H37" s="31"/>
      <c r="I37" s="31"/>
    </row>
    <row r="38" spans="1:9" ht="16.5" thickTop="1" x14ac:dyDescent="0.25"/>
    <row r="39" spans="1:9" x14ac:dyDescent="0.25">
      <c r="A39" s="34"/>
      <c r="B39" s="34"/>
    </row>
    <row r="40" spans="1:9" x14ac:dyDescent="0.25">
      <c r="A40" s="34"/>
      <c r="B40" s="34"/>
      <c r="D40" s="33" t="e">
        <f>D37-D21</f>
        <v>#REF!</v>
      </c>
    </row>
    <row r="41" spans="1:9" x14ac:dyDescent="0.25">
      <c r="A41" s="34"/>
      <c r="B41" s="34"/>
    </row>
    <row r="44" spans="1:9" x14ac:dyDescent="0.25">
      <c r="A44" s="32"/>
      <c r="B44" s="32"/>
    </row>
  </sheetData>
  <mergeCells count="2">
    <mergeCell ref="A1:D1"/>
    <mergeCell ref="A2:D2"/>
  </mergeCells>
  <pageMargins left="0.70866141732283472" right="0.70866141732283472" top="0.74803149606299213" bottom="0.74803149606299213" header="0.31496062992125984" footer="0.31496062992125984"/>
  <pageSetup paperSize="9" scale="88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278"/>
  <sheetViews>
    <sheetView topLeftCell="A46" zoomScale="90" zoomScaleNormal="90" workbookViewId="0">
      <selection activeCell="O15" sqref="O15"/>
    </sheetView>
  </sheetViews>
  <sheetFormatPr defaultColWidth="12.5703125" defaultRowHeight="18.75" x14ac:dyDescent="0.3"/>
  <cols>
    <col min="1" max="1" width="43" style="6" customWidth="1"/>
    <col min="2" max="2" width="17.28515625" style="4" customWidth="1"/>
    <col min="3" max="3" width="16.28515625" style="28" bestFit="1" customWidth="1"/>
    <col min="4" max="4" width="16" style="29" bestFit="1" customWidth="1"/>
    <col min="5" max="6" width="12.5703125" style="12"/>
    <col min="7" max="7" width="14.28515625" style="11" bestFit="1" customWidth="1"/>
    <col min="8" max="8" width="14.28515625" style="11" hidden="1" customWidth="1"/>
    <col min="9" max="9" width="14.28515625" style="11" customWidth="1"/>
    <col min="10" max="10" width="12.7109375" style="11" bestFit="1" customWidth="1"/>
    <col min="11" max="11" width="10.5703125" style="11" bestFit="1" customWidth="1"/>
    <col min="12" max="12" width="13.85546875" style="11" customWidth="1"/>
    <col min="13" max="13" width="10.5703125" style="11" bestFit="1" customWidth="1"/>
    <col min="14" max="14" width="13.42578125" style="11" customWidth="1"/>
    <col min="15" max="15" width="12.7109375" style="11" customWidth="1"/>
    <col min="16" max="16" width="10.5703125" style="11" bestFit="1" customWidth="1"/>
    <col min="17" max="17" width="12.7109375" style="11" bestFit="1" customWidth="1"/>
    <col min="18" max="18" width="11.85546875" style="11" bestFit="1" customWidth="1"/>
    <col min="19" max="19" width="11.5703125" style="11" customWidth="1"/>
    <col min="20" max="20" width="15.7109375" style="6" bestFit="1" customWidth="1"/>
    <col min="21" max="21" width="10.5703125" style="6" bestFit="1" customWidth="1"/>
    <col min="22" max="16384" width="12.5703125" style="6"/>
  </cols>
  <sheetData>
    <row r="1" spans="1:19" s="9" customFormat="1" x14ac:dyDescent="0.3">
      <c r="A1" s="387" t="s">
        <v>197</v>
      </c>
      <c r="B1" s="387"/>
      <c r="C1" s="387"/>
      <c r="D1" s="387"/>
      <c r="E1" s="8"/>
      <c r="F1" s="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s="9" customFormat="1" x14ac:dyDescent="0.3">
      <c r="A2" s="387" t="s">
        <v>198</v>
      </c>
      <c r="B2" s="387"/>
      <c r="C2" s="387"/>
      <c r="D2" s="387"/>
      <c r="E2" s="8"/>
      <c r="F2" s="8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pans="1:19" s="9" customFormat="1" x14ac:dyDescent="0.3">
      <c r="A3" s="388"/>
      <c r="B3" s="388"/>
      <c r="C3" s="388"/>
      <c r="D3" s="388"/>
      <c r="E3" s="8"/>
      <c r="F3" s="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pans="1:19" s="9" customFormat="1" x14ac:dyDescent="0.3">
      <c r="A4" s="30"/>
      <c r="B4" s="2" t="s">
        <v>196</v>
      </c>
      <c r="C4" s="28" t="s">
        <v>17</v>
      </c>
      <c r="D4" s="295" t="s">
        <v>72</v>
      </c>
      <c r="E4" s="8"/>
      <c r="F4" s="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19" s="9" customFormat="1" x14ac:dyDescent="0.3">
      <c r="A5" s="10" t="s">
        <v>18</v>
      </c>
      <c r="B5" s="3"/>
      <c r="C5" s="296" t="s">
        <v>196</v>
      </c>
      <c r="D5" s="297"/>
      <c r="E5" s="8"/>
      <c r="F5" s="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spans="1:19" x14ac:dyDescent="0.3">
      <c r="A6" s="13" t="s">
        <v>5</v>
      </c>
      <c r="B6" s="4" t="e">
        <f>SUM('2024-25 Running'!I6)</f>
        <v>#REF!</v>
      </c>
      <c r="C6" s="28">
        <f>SUM('2024-25 Running'!E6)</f>
        <v>16000</v>
      </c>
      <c r="D6" s="298">
        <f>SUM('2024-25 Running'!A6)</f>
        <v>14600</v>
      </c>
    </row>
    <row r="7" spans="1:19" x14ac:dyDescent="0.3">
      <c r="A7" s="13" t="s">
        <v>166</v>
      </c>
      <c r="B7" s="4" t="e">
        <f>SUM('2024-25 Running'!I7)</f>
        <v>#REF!</v>
      </c>
      <c r="C7" s="28">
        <f>SUM('2024-25 Running'!E7)</f>
        <v>1200</v>
      </c>
      <c r="D7" s="298">
        <f>SUM('2024-25 Running'!A7)</f>
        <v>1200</v>
      </c>
    </row>
    <row r="8" spans="1:19" x14ac:dyDescent="0.3">
      <c r="A8" s="13" t="s">
        <v>168</v>
      </c>
      <c r="B8" s="4" t="e">
        <f>SUM('2024-25 Running'!I8)</f>
        <v>#REF!</v>
      </c>
      <c r="C8" s="28">
        <f>SUM('2024-25 Running'!E8)</f>
        <v>150</v>
      </c>
      <c r="D8" s="298">
        <f>SUM('2024-25 Running'!A8)</f>
        <v>153.13999999999999</v>
      </c>
    </row>
    <row r="9" spans="1:19" x14ac:dyDescent="0.3">
      <c r="A9" s="13" t="s">
        <v>170</v>
      </c>
      <c r="B9" s="4" t="e">
        <f>SUM('2024-25 Running'!I9)</f>
        <v>#REF!</v>
      </c>
      <c r="C9" s="28">
        <f>SUM('2024-25 Running'!E9)</f>
        <v>265</v>
      </c>
      <c r="D9" s="298">
        <f>SUM('2024-25 Running'!A9)</f>
        <v>414.84</v>
      </c>
    </row>
    <row r="10" spans="1:19" x14ac:dyDescent="0.3">
      <c r="A10" s="13" t="s">
        <v>172</v>
      </c>
      <c r="B10" s="4" t="e">
        <f>SUM('2024-25 Running'!I10)</f>
        <v>#REF!</v>
      </c>
      <c r="C10" s="28">
        <f>SUM('2024-25 Running'!E10)</f>
        <v>125</v>
      </c>
      <c r="D10" s="298">
        <f>SUM('2024-25 Running'!A10)</f>
        <v>250</v>
      </c>
    </row>
    <row r="11" spans="1:19" x14ac:dyDescent="0.3">
      <c r="A11" s="13" t="s">
        <v>174</v>
      </c>
      <c r="B11" s="4" t="e">
        <f>SUM('2024-25 Running'!I11)</f>
        <v>#REF!</v>
      </c>
      <c r="C11" s="28">
        <f>SUM('2024-25 Running'!E11)</f>
        <v>200</v>
      </c>
      <c r="D11" s="298">
        <f>SUM('2024-25 Running'!A11)</f>
        <v>0</v>
      </c>
    </row>
    <row r="12" spans="1:19" x14ac:dyDescent="0.3">
      <c r="A12" s="13" t="s">
        <v>71</v>
      </c>
      <c r="B12" s="4" t="e">
        <f>SUM('2024-25 Running'!I12)</f>
        <v>#REF!</v>
      </c>
      <c r="C12" s="28">
        <f>SUM('2024-25 Running'!E12)</f>
        <v>0</v>
      </c>
      <c r="D12" s="298">
        <f>SUM('2024-25 Running'!A12)</f>
        <v>2900.23</v>
      </c>
    </row>
    <row r="13" spans="1:19" x14ac:dyDescent="0.3">
      <c r="A13" s="13" t="s">
        <v>125</v>
      </c>
      <c r="B13" s="4" t="e">
        <f>SUM('2024-25 Running'!I17)</f>
        <v>#REF!</v>
      </c>
      <c r="C13" s="28">
        <f>SUM('2024-25 Running'!E13)</f>
        <v>0</v>
      </c>
      <c r="D13" s="298">
        <f>SUM('2024-25 Running'!A17)</f>
        <v>1229.25</v>
      </c>
    </row>
    <row r="14" spans="1:19" x14ac:dyDescent="0.3">
      <c r="A14" s="13" t="s">
        <v>199</v>
      </c>
      <c r="B14" s="4" t="e">
        <f>SUM('2024-25 Running'!I15)</f>
        <v>#REF!</v>
      </c>
      <c r="C14" s="28">
        <f>SUM('2024-25 Running'!E17)</f>
        <v>0</v>
      </c>
      <c r="D14" s="298">
        <f>SUM('2024-25 Running'!A15)</f>
        <v>0</v>
      </c>
    </row>
    <row r="15" spans="1:19" x14ac:dyDescent="0.3">
      <c r="A15" s="13" t="s">
        <v>175</v>
      </c>
      <c r="B15" s="4" t="e">
        <f>SUM('2024-25 Running'!I16)</f>
        <v>#REF!</v>
      </c>
      <c r="C15" s="28">
        <f>SUM('2024-25 Running'!E16)</f>
        <v>0</v>
      </c>
      <c r="D15" s="298">
        <f>SUM('2024-25 Running'!A16)</f>
        <v>69.599999999999994</v>
      </c>
    </row>
    <row r="16" spans="1:19" x14ac:dyDescent="0.3">
      <c r="A16" s="13" t="s">
        <v>84</v>
      </c>
      <c r="B16" s="4" t="e">
        <f>SUM('2024-25 Running'!I13)</f>
        <v>#REF!</v>
      </c>
      <c r="C16" s="28">
        <f>SUM('2024-25 Running'!E13)</f>
        <v>0</v>
      </c>
      <c r="D16" s="298">
        <f>SUM('2024-25 Running'!A13)</f>
        <v>162.72</v>
      </c>
    </row>
    <row r="17" spans="1:19" x14ac:dyDescent="0.3">
      <c r="A17" s="13" t="s">
        <v>209</v>
      </c>
      <c r="B17" s="4" t="e">
        <f>SUM('2024-25 Running'!I14)</f>
        <v>#REF!</v>
      </c>
      <c r="C17" s="28">
        <f>SUM('2024-25 Running'!E14)</f>
        <v>350</v>
      </c>
      <c r="D17" s="298">
        <f>SUM('2024-25 Running'!A14)</f>
        <v>0</v>
      </c>
    </row>
    <row r="18" spans="1:19" s="9" customFormat="1" ht="19.5" thickBot="1" x14ac:dyDescent="0.35">
      <c r="A18" s="10" t="s">
        <v>19</v>
      </c>
      <c r="B18" s="5" t="e">
        <f>SUM(B6:B17)</f>
        <v>#REF!</v>
      </c>
      <c r="C18" s="299">
        <f>SUM(C6:C17)</f>
        <v>18290</v>
      </c>
      <c r="D18" s="300">
        <f>SUM(D6:D17)</f>
        <v>20979.78</v>
      </c>
      <c r="E18" s="8"/>
      <c r="F18" s="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</row>
    <row r="19" spans="1:19" ht="19.5" thickTop="1" x14ac:dyDescent="0.3"/>
    <row r="20" spans="1:19" s="9" customFormat="1" x14ac:dyDescent="0.3">
      <c r="A20" s="14" t="s">
        <v>20</v>
      </c>
      <c r="B20" s="3"/>
      <c r="C20" s="301"/>
      <c r="D20" s="297"/>
      <c r="E20" s="8"/>
      <c r="F20" s="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</row>
    <row r="21" spans="1:19" x14ac:dyDescent="0.3">
      <c r="A21" s="13" t="s">
        <v>11</v>
      </c>
      <c r="B21" s="302" t="e">
        <f>SUM('2024-25 Running'!I21)</f>
        <v>#REF!</v>
      </c>
      <c r="C21" s="28">
        <f>SUM('2024-25 Running'!E21)</f>
        <v>5399</v>
      </c>
      <c r="D21" s="28">
        <f>SUM('2024-25 Running'!A21)</f>
        <v>4829.4399999999996</v>
      </c>
    </row>
    <row r="22" spans="1:19" x14ac:dyDescent="0.3">
      <c r="A22" s="13" t="s">
        <v>165</v>
      </c>
      <c r="B22" s="302" t="e">
        <f>SUM('2024-25 Running'!I22)</f>
        <v>#REF!</v>
      </c>
      <c r="C22" s="28">
        <f>SUM('2024-25 Running'!E22)</f>
        <v>312</v>
      </c>
      <c r="D22" s="28">
        <f>SUM('2024-25 Running'!A22)</f>
        <v>312</v>
      </c>
    </row>
    <row r="23" spans="1:19" x14ac:dyDescent="0.3">
      <c r="A23" s="13" t="s">
        <v>167</v>
      </c>
      <c r="B23" s="302" t="e">
        <f>SUM('2024-25 Running'!I23)</f>
        <v>#REF!</v>
      </c>
      <c r="C23" s="28">
        <f>SUM('2024-25 Running'!E23)</f>
        <v>100</v>
      </c>
      <c r="D23" s="28">
        <f>SUM('2024-25 Running'!A23)</f>
        <v>106.35</v>
      </c>
    </row>
    <row r="24" spans="1:19" x14ac:dyDescent="0.3">
      <c r="A24" s="13" t="s">
        <v>169</v>
      </c>
      <c r="B24" s="302" t="e">
        <f>SUM('2024-25 Running'!I24)</f>
        <v>#REF!</v>
      </c>
      <c r="C24" s="28">
        <f>SUM('2024-25 Running'!E24)</f>
        <v>100</v>
      </c>
      <c r="D24" s="28">
        <f>SUM('2024-25 Running'!A24)</f>
        <v>82.01</v>
      </c>
    </row>
    <row r="25" spans="1:19" x14ac:dyDescent="0.3">
      <c r="A25" s="13" t="s">
        <v>171</v>
      </c>
      <c r="B25" s="302" t="e">
        <f>SUM('2024-25 Running'!I25)</f>
        <v>#REF!</v>
      </c>
      <c r="C25" s="28">
        <f>SUM('2024-25 Running'!E25)</f>
        <v>4600</v>
      </c>
      <c r="D25" s="28">
        <f>SUM('2024-25 Running'!A25)</f>
        <v>4413</v>
      </c>
    </row>
    <row r="26" spans="1:19" x14ac:dyDescent="0.3">
      <c r="A26" s="13" t="s">
        <v>173</v>
      </c>
      <c r="B26" s="302" t="e">
        <f>SUM('2024-25 Running'!I26)</f>
        <v>#REF!</v>
      </c>
      <c r="C26" s="28">
        <f>SUM('2024-25 Running'!E26)</f>
        <v>30</v>
      </c>
      <c r="D26" s="28">
        <f>SUM('2024-25 Running'!A26)</f>
        <v>9.44</v>
      </c>
    </row>
    <row r="27" spans="1:19" x14ac:dyDescent="0.3">
      <c r="A27" s="13" t="s">
        <v>50</v>
      </c>
      <c r="B27" s="302" t="e">
        <f>SUM('2024-25 Running'!I27)</f>
        <v>#REF!</v>
      </c>
      <c r="C27" s="28">
        <f>SUM('2024-25 Running'!E27)</f>
        <v>75</v>
      </c>
      <c r="D27" s="28">
        <f>SUM('2024-25 Running'!A27)</f>
        <v>65</v>
      </c>
    </row>
    <row r="28" spans="1:19" x14ac:dyDescent="0.3">
      <c r="A28" s="13" t="s">
        <v>51</v>
      </c>
      <c r="B28" s="302">
        <f>SUM(#REF!)</f>
        <v>0</v>
      </c>
      <c r="C28" s="28">
        <f>SUM('2024-25 Running'!E28)</f>
        <v>210</v>
      </c>
      <c r="D28" s="28">
        <f>SUM('2024-25 Running'!A28)</f>
        <v>0</v>
      </c>
    </row>
    <row r="29" spans="1:19" x14ac:dyDescent="0.3">
      <c r="A29" s="13" t="s">
        <v>176</v>
      </c>
      <c r="B29" s="302" t="e">
        <f>SUM('2024-25 Running'!I29)</f>
        <v>#REF!</v>
      </c>
      <c r="C29" s="28">
        <f>SUM('2024-25 Running'!E29)</f>
        <v>400</v>
      </c>
      <c r="D29" s="28">
        <f>SUM('2024-25 Running'!A29)</f>
        <v>247.79</v>
      </c>
    </row>
    <row r="30" spans="1:19" x14ac:dyDescent="0.3">
      <c r="A30" s="13" t="s">
        <v>177</v>
      </c>
      <c r="B30" s="302" t="e">
        <f>SUM('2024-25 Running'!I30)</f>
        <v>#REF!</v>
      </c>
      <c r="C30" s="28">
        <f>SUM('2024-25 Running'!E30)</f>
        <v>0</v>
      </c>
      <c r="D30" s="28">
        <f>SUM('2024-25 Running'!A30)</f>
        <v>0</v>
      </c>
    </row>
    <row r="31" spans="1:19" x14ac:dyDescent="0.3">
      <c r="A31" s="13" t="s">
        <v>12</v>
      </c>
      <c r="B31" s="302" t="e">
        <f>SUM('2024-25 Running'!I31)</f>
        <v>#REF!</v>
      </c>
      <c r="C31" s="28">
        <f>SUM('2024-25 Running'!E31)</f>
        <v>700</v>
      </c>
      <c r="D31" s="28">
        <f>SUM('2024-25 Running'!A31)</f>
        <v>475.14</v>
      </c>
    </row>
    <row r="32" spans="1:19" x14ac:dyDescent="0.3">
      <c r="A32" s="13" t="s">
        <v>178</v>
      </c>
      <c r="B32" s="302" t="e">
        <f>SUM('2024-25 Running'!I32)</f>
        <v>#REF!</v>
      </c>
      <c r="C32" s="28">
        <f>SUM('2024-25 Running'!E32)</f>
        <v>210</v>
      </c>
      <c r="D32" s="28">
        <f>SUM('2024-25 Running'!A32)</f>
        <v>461.33</v>
      </c>
    </row>
    <row r="33" spans="1:19" x14ac:dyDescent="0.3">
      <c r="A33" s="13" t="s">
        <v>73</v>
      </c>
      <c r="B33" s="302" t="e">
        <f>SUM('2024-25 Running'!I33)</f>
        <v>#REF!</v>
      </c>
      <c r="C33" s="28">
        <f>SUM('2024-25 Running'!E33)</f>
        <v>140</v>
      </c>
      <c r="D33" s="28">
        <f>SUM('2024-25 Running'!A33)</f>
        <v>180</v>
      </c>
    </row>
    <row r="34" spans="1:19" x14ac:dyDescent="0.3">
      <c r="A34" s="13" t="s">
        <v>179</v>
      </c>
      <c r="B34" s="302" t="e">
        <f>SUM('2024-25 Running'!I34)</f>
        <v>#REF!</v>
      </c>
      <c r="C34" s="28">
        <f>SUM('2024-25 Running'!E34)</f>
        <v>1100</v>
      </c>
      <c r="D34" s="28">
        <f>SUM('2024-25 Running'!A34)</f>
        <v>1100</v>
      </c>
    </row>
    <row r="35" spans="1:19" x14ac:dyDescent="0.3">
      <c r="A35" s="13" t="s">
        <v>13</v>
      </c>
      <c r="B35" s="302" t="e">
        <f>SUM('2024-25 Running'!I35)</f>
        <v>#REF!</v>
      </c>
      <c r="C35" s="28">
        <f>SUM('2024-25 Running'!E35)</f>
        <v>700</v>
      </c>
      <c r="D35" s="28">
        <f>SUM('2024-25 Running'!A35)</f>
        <v>680.05</v>
      </c>
      <c r="G35" s="69"/>
    </row>
    <row r="36" spans="1:19" x14ac:dyDescent="0.3">
      <c r="A36" s="13" t="s">
        <v>181</v>
      </c>
      <c r="B36" s="302" t="e">
        <f>SUM('2024-25 Running'!I36)</f>
        <v>#REF!</v>
      </c>
      <c r="C36" s="28">
        <f>SUM('2024-25 Running'!E36)</f>
        <v>120</v>
      </c>
      <c r="D36" s="28">
        <f>SUM('2024-25 Running'!A36)</f>
        <v>105</v>
      </c>
      <c r="G36" s="69"/>
    </row>
    <row r="37" spans="1:19" x14ac:dyDescent="0.3">
      <c r="A37" s="13" t="s">
        <v>182</v>
      </c>
      <c r="B37" s="302" t="e">
        <f>SUM('2024-25 Running'!I37)</f>
        <v>#REF!</v>
      </c>
      <c r="C37" s="28">
        <f>SUM('2024-25 Running'!E37)</f>
        <v>750</v>
      </c>
      <c r="D37" s="28">
        <f>SUM('2024-25 Running'!A37)</f>
        <v>3456.72</v>
      </c>
      <c r="G37" s="69"/>
    </row>
    <row r="38" spans="1:19" x14ac:dyDescent="0.3">
      <c r="A38" s="13" t="s">
        <v>183</v>
      </c>
      <c r="B38" s="302" t="e">
        <f>SUM('2024-25 Running'!I38)</f>
        <v>#REF!</v>
      </c>
      <c r="C38" s="28">
        <f>SUM('2024-25 Running'!E38)</f>
        <v>200</v>
      </c>
      <c r="D38" s="28">
        <f>SUM('2024-25 Running'!A38)</f>
        <v>475</v>
      </c>
      <c r="G38" s="69"/>
    </row>
    <row r="39" spans="1:19" x14ac:dyDescent="0.3">
      <c r="A39" s="13" t="s">
        <v>184</v>
      </c>
      <c r="B39" s="302" t="e">
        <f>SUM('2024-25 Running'!I39)</f>
        <v>#REF!</v>
      </c>
      <c r="C39" s="28">
        <f>SUM('2024-25 Running'!E39)</f>
        <v>50</v>
      </c>
      <c r="D39" s="28">
        <f>SUM('2024-25 Running'!A39)</f>
        <v>0</v>
      </c>
      <c r="G39" s="69"/>
    </row>
    <row r="40" spans="1:19" x14ac:dyDescent="0.3">
      <c r="A40" s="13" t="s">
        <v>185</v>
      </c>
      <c r="B40" s="302" t="e">
        <f>SUM('2024-25 Running'!I40)</f>
        <v>#REF!</v>
      </c>
      <c r="C40" s="28">
        <f>SUM('2024-25 Running'!E40)</f>
        <v>1200</v>
      </c>
      <c r="D40" s="28">
        <f>SUM('2024-25 Running'!A40)</f>
        <v>2056.16</v>
      </c>
      <c r="G40" s="69"/>
    </row>
    <row r="41" spans="1:19" x14ac:dyDescent="0.3">
      <c r="A41" s="13" t="s">
        <v>186</v>
      </c>
      <c r="B41" s="302" t="e">
        <f>SUM('2024-25 Running'!I41)</f>
        <v>#REF!</v>
      </c>
      <c r="C41" s="28">
        <f>SUM('2024-25 Running'!E41)</f>
        <v>140</v>
      </c>
      <c r="D41" s="28">
        <f>SUM('2024-25 Running'!A41)</f>
        <v>0</v>
      </c>
    </row>
    <row r="42" spans="1:19" x14ac:dyDescent="0.3">
      <c r="A42" s="13" t="s">
        <v>96</v>
      </c>
      <c r="B42" s="302" t="e">
        <f>SUM('2024-25 Running'!I42)</f>
        <v>#REF!</v>
      </c>
      <c r="C42" s="28">
        <f>SUM('2024-25 Running'!E42)</f>
        <v>500</v>
      </c>
      <c r="D42" s="28">
        <f>SUM('2024-25 Running'!A42)</f>
        <v>64</v>
      </c>
    </row>
    <row r="43" spans="1:19" x14ac:dyDescent="0.3">
      <c r="A43" s="13" t="s">
        <v>200</v>
      </c>
      <c r="B43" s="302" t="e">
        <f>SUM('2024-25 Running'!I43)</f>
        <v>#REF!</v>
      </c>
      <c r="C43" s="28">
        <f>SUM('2024-25 Running'!E43)</f>
        <v>0</v>
      </c>
      <c r="D43" s="28">
        <f>SUM('2024-25 Running'!A43)</f>
        <v>0</v>
      </c>
    </row>
    <row r="44" spans="1:19" x14ac:dyDescent="0.3">
      <c r="A44" s="13" t="s">
        <v>52</v>
      </c>
      <c r="B44" s="302" t="e">
        <f>SUM('2024-25 Running'!I44)</f>
        <v>#REF!</v>
      </c>
      <c r="C44" s="28">
        <f>SUM('2024-25 Running'!E44)</f>
        <v>300</v>
      </c>
      <c r="D44" s="28">
        <f>SUM('2024-25 Running'!A44)</f>
        <v>0</v>
      </c>
    </row>
    <row r="45" spans="1:19" x14ac:dyDescent="0.3">
      <c r="A45" s="13" t="s">
        <v>175</v>
      </c>
      <c r="B45" s="302" t="e">
        <f>SUM('2024-25 Running'!I45)</f>
        <v>#REF!</v>
      </c>
      <c r="C45" s="28">
        <f>SUM('2024-25 Running'!E45)</f>
        <v>0</v>
      </c>
      <c r="D45" s="28">
        <f>SUM('2024-25 Running'!A45)</f>
        <v>0</v>
      </c>
    </row>
    <row r="46" spans="1:19" x14ac:dyDescent="0.3">
      <c r="A46" s="13" t="s">
        <v>188</v>
      </c>
      <c r="B46" s="302" t="e">
        <f>SUM('2024-25 Running'!I46)</f>
        <v>#REF!</v>
      </c>
      <c r="C46" s="28">
        <f>SUM('2024-25 Running'!E46)</f>
        <v>0</v>
      </c>
      <c r="D46" s="28">
        <f>SUM('2024-25 Running'!A46)</f>
        <v>0</v>
      </c>
    </row>
    <row r="47" spans="1:19" s="9" customFormat="1" ht="19.5" thickBot="1" x14ac:dyDescent="0.35">
      <c r="B47" s="5" t="e">
        <f>SUM(B21:B46)</f>
        <v>#REF!</v>
      </c>
      <c r="C47" s="303">
        <f>SUM(C21:C46)</f>
        <v>17336</v>
      </c>
      <c r="D47" s="304">
        <f>SUM(D21:D46)</f>
        <v>19118.43</v>
      </c>
      <c r="E47" s="8"/>
      <c r="F47" s="8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</row>
    <row r="48" spans="1:19" ht="19.5" thickTop="1" x14ac:dyDescent="0.3"/>
    <row r="49" spans="1:4" x14ac:dyDescent="0.3">
      <c r="B49" s="29">
        <f>SUM('Bank Recon'!D29)</f>
        <v>15752.33</v>
      </c>
    </row>
    <row r="50" spans="1:4" x14ac:dyDescent="0.3">
      <c r="A50" s="13"/>
    </row>
    <row r="51" spans="1:4" x14ac:dyDescent="0.3">
      <c r="A51" s="13"/>
    </row>
    <row r="52" spans="1:4" x14ac:dyDescent="0.3">
      <c r="A52" s="13" t="s">
        <v>18</v>
      </c>
      <c r="B52" s="4" t="e">
        <f>+B18</f>
        <v>#REF!</v>
      </c>
      <c r="D52" s="29">
        <f>+D18</f>
        <v>20979.78</v>
      </c>
    </row>
    <row r="53" spans="1:4" x14ac:dyDescent="0.3">
      <c r="A53" s="13" t="s">
        <v>21</v>
      </c>
      <c r="B53" s="4" t="e">
        <f>+B47</f>
        <v>#REF!</v>
      </c>
      <c r="D53" s="29">
        <f>+D47</f>
        <v>19118.43</v>
      </c>
    </row>
    <row r="54" spans="1:4" ht="19.5" thickBot="1" x14ac:dyDescent="0.35">
      <c r="A54" s="13" t="s">
        <v>22</v>
      </c>
      <c r="B54" s="5" t="e">
        <f>SUM(B49:B52)-B53</f>
        <v>#REF!</v>
      </c>
      <c r="D54" s="305">
        <f>SUM(D49:D52)-D53</f>
        <v>1861.3499999999985</v>
      </c>
    </row>
    <row r="55" spans="1:4" ht="19.5" thickTop="1" x14ac:dyDescent="0.3"/>
    <row r="56" spans="1:4" x14ac:dyDescent="0.3">
      <c r="A56" s="13" t="s">
        <v>23</v>
      </c>
    </row>
    <row r="57" spans="1:4" x14ac:dyDescent="0.3">
      <c r="A57" s="13" t="s">
        <v>24</v>
      </c>
      <c r="B57" s="302">
        <f>SUM('Bank Recon'!C10)</f>
        <v>1322.06</v>
      </c>
    </row>
    <row r="58" spans="1:4" x14ac:dyDescent="0.3">
      <c r="A58" s="13" t="s">
        <v>204</v>
      </c>
      <c r="B58" s="302">
        <f>SUM('Bank Recon'!C12)</f>
        <v>7645.29</v>
      </c>
    </row>
    <row r="59" spans="1:4" x14ac:dyDescent="0.3">
      <c r="A59" s="13" t="s">
        <v>193</v>
      </c>
      <c r="B59" s="302">
        <f>SUM('Bank Recon'!C11)</f>
        <v>3491.16</v>
      </c>
    </row>
    <row r="60" spans="1:4" x14ac:dyDescent="0.3">
      <c r="A60" s="13" t="s">
        <v>25</v>
      </c>
      <c r="B60" s="302">
        <f>'Bank Recon'!D19</f>
        <v>0</v>
      </c>
      <c r="D60" s="29">
        <v>0</v>
      </c>
    </row>
    <row r="61" spans="1:4" ht="19.5" thickBot="1" x14ac:dyDescent="0.35">
      <c r="A61" s="13"/>
      <c r="B61" s="5">
        <f>SUM(B57:B59)-B60</f>
        <v>12458.51</v>
      </c>
      <c r="D61" s="305">
        <f>SUM(D57:D57)-D60</f>
        <v>0</v>
      </c>
    </row>
    <row r="62" spans="1:4" ht="19.5" thickTop="1" x14ac:dyDescent="0.3">
      <c r="A62" s="13"/>
    </row>
    <row r="63" spans="1:4" x14ac:dyDescent="0.3">
      <c r="A63" s="13" t="s">
        <v>26</v>
      </c>
      <c r="B63" s="4" t="e">
        <f>B54-B61</f>
        <v>#REF!</v>
      </c>
    </row>
    <row r="64" spans="1:4" x14ac:dyDescent="0.3">
      <c r="A64" s="13"/>
    </row>
    <row r="65" spans="1:1" x14ac:dyDescent="0.3">
      <c r="A65" s="13"/>
    </row>
    <row r="66" spans="1:1" x14ac:dyDescent="0.3">
      <c r="A66" s="13"/>
    </row>
    <row r="67" spans="1:1" x14ac:dyDescent="0.3">
      <c r="A67" s="13"/>
    </row>
    <row r="68" spans="1:1" x14ac:dyDescent="0.3">
      <c r="A68" s="13"/>
    </row>
    <row r="69" spans="1:1" x14ac:dyDescent="0.3">
      <c r="A69" s="13"/>
    </row>
    <row r="70" spans="1:1" x14ac:dyDescent="0.3">
      <c r="A70" s="13"/>
    </row>
    <row r="71" spans="1:1" x14ac:dyDescent="0.3">
      <c r="A71" s="13"/>
    </row>
    <row r="72" spans="1:1" x14ac:dyDescent="0.3">
      <c r="A72" s="13"/>
    </row>
    <row r="73" spans="1:1" x14ac:dyDescent="0.3">
      <c r="A73" s="13"/>
    </row>
    <row r="74" spans="1:1" x14ac:dyDescent="0.3">
      <c r="A74" s="13"/>
    </row>
    <row r="75" spans="1:1" x14ac:dyDescent="0.3">
      <c r="A75" s="13"/>
    </row>
    <row r="76" spans="1:1" x14ac:dyDescent="0.3">
      <c r="A76" s="13"/>
    </row>
    <row r="77" spans="1:1" x14ac:dyDescent="0.3">
      <c r="A77" s="13"/>
    </row>
    <row r="78" spans="1:1" x14ac:dyDescent="0.3">
      <c r="A78" s="13"/>
    </row>
    <row r="79" spans="1:1" x14ac:dyDescent="0.3">
      <c r="A79" s="13"/>
    </row>
    <row r="80" spans="1:1" x14ac:dyDescent="0.3">
      <c r="A80" s="13"/>
    </row>
    <row r="81" spans="1:1" x14ac:dyDescent="0.3">
      <c r="A81" s="13"/>
    </row>
    <row r="82" spans="1:1" x14ac:dyDescent="0.3">
      <c r="A82" s="13"/>
    </row>
    <row r="83" spans="1:1" x14ac:dyDescent="0.3">
      <c r="A83" s="13"/>
    </row>
    <row r="84" spans="1:1" x14ac:dyDescent="0.3">
      <c r="A84" s="13"/>
    </row>
    <row r="85" spans="1:1" x14ac:dyDescent="0.3">
      <c r="A85" s="13"/>
    </row>
    <row r="86" spans="1:1" x14ac:dyDescent="0.3">
      <c r="A86" s="13"/>
    </row>
    <row r="87" spans="1:1" x14ac:dyDescent="0.3">
      <c r="A87" s="13"/>
    </row>
    <row r="88" spans="1:1" x14ac:dyDescent="0.3">
      <c r="A88" s="13"/>
    </row>
    <row r="89" spans="1:1" x14ac:dyDescent="0.3">
      <c r="A89" s="13"/>
    </row>
    <row r="90" spans="1:1" x14ac:dyDescent="0.3">
      <c r="A90" s="13"/>
    </row>
    <row r="91" spans="1:1" x14ac:dyDescent="0.3">
      <c r="A91" s="13"/>
    </row>
    <row r="92" spans="1:1" x14ac:dyDescent="0.3">
      <c r="A92" s="13"/>
    </row>
    <row r="93" spans="1:1" x14ac:dyDescent="0.3">
      <c r="A93" s="13"/>
    </row>
    <row r="94" spans="1:1" x14ac:dyDescent="0.3">
      <c r="A94" s="13"/>
    </row>
    <row r="95" spans="1:1" x14ac:dyDescent="0.3">
      <c r="A95" s="13"/>
    </row>
    <row r="96" spans="1:1" x14ac:dyDescent="0.3">
      <c r="A96" s="13"/>
    </row>
    <row r="97" spans="1:1" x14ac:dyDescent="0.3">
      <c r="A97" s="13"/>
    </row>
    <row r="98" spans="1:1" x14ac:dyDescent="0.3">
      <c r="A98" s="13"/>
    </row>
    <row r="99" spans="1:1" x14ac:dyDescent="0.3">
      <c r="A99" s="13"/>
    </row>
    <row r="100" spans="1:1" x14ac:dyDescent="0.3">
      <c r="A100" s="13"/>
    </row>
    <row r="101" spans="1:1" x14ac:dyDescent="0.3">
      <c r="A101" s="13"/>
    </row>
    <row r="102" spans="1:1" x14ac:dyDescent="0.3">
      <c r="A102" s="13"/>
    </row>
    <row r="103" spans="1:1" x14ac:dyDescent="0.3">
      <c r="A103" s="13"/>
    </row>
    <row r="104" spans="1:1" x14ac:dyDescent="0.3">
      <c r="A104" s="13"/>
    </row>
    <row r="105" spans="1:1" x14ac:dyDescent="0.3">
      <c r="A105" s="13"/>
    </row>
    <row r="106" spans="1:1" x14ac:dyDescent="0.3">
      <c r="A106" s="13"/>
    </row>
    <row r="107" spans="1:1" x14ac:dyDescent="0.3">
      <c r="A107" s="13"/>
    </row>
    <row r="108" spans="1:1" x14ac:dyDescent="0.3">
      <c r="A108" s="13"/>
    </row>
    <row r="109" spans="1:1" x14ac:dyDescent="0.3">
      <c r="A109" s="13"/>
    </row>
    <row r="110" spans="1:1" x14ac:dyDescent="0.3">
      <c r="A110" s="13"/>
    </row>
    <row r="111" spans="1:1" x14ac:dyDescent="0.3">
      <c r="A111" s="13"/>
    </row>
    <row r="112" spans="1:1" x14ac:dyDescent="0.3">
      <c r="A112" s="13"/>
    </row>
    <row r="113" spans="1:1" x14ac:dyDescent="0.3">
      <c r="A113" s="13"/>
    </row>
    <row r="114" spans="1:1" x14ac:dyDescent="0.3">
      <c r="A114" s="13"/>
    </row>
    <row r="115" spans="1:1" x14ac:dyDescent="0.3">
      <c r="A115" s="13"/>
    </row>
    <row r="116" spans="1:1" x14ac:dyDescent="0.3">
      <c r="A116" s="13"/>
    </row>
    <row r="117" spans="1:1" x14ac:dyDescent="0.3">
      <c r="A117" s="13"/>
    </row>
    <row r="118" spans="1:1" x14ac:dyDescent="0.3">
      <c r="A118" s="13"/>
    </row>
    <row r="119" spans="1:1" x14ac:dyDescent="0.3">
      <c r="A119" s="13"/>
    </row>
    <row r="120" spans="1:1" x14ac:dyDescent="0.3">
      <c r="A120" s="13"/>
    </row>
    <row r="121" spans="1:1" x14ac:dyDescent="0.3">
      <c r="A121" s="13"/>
    </row>
    <row r="122" spans="1:1" x14ac:dyDescent="0.3">
      <c r="A122" s="13"/>
    </row>
    <row r="123" spans="1:1" x14ac:dyDescent="0.3">
      <c r="A123" s="13"/>
    </row>
    <row r="124" spans="1:1" x14ac:dyDescent="0.3">
      <c r="A124" s="13"/>
    </row>
    <row r="125" spans="1:1" x14ac:dyDescent="0.3">
      <c r="A125" s="13"/>
    </row>
    <row r="126" spans="1:1" x14ac:dyDescent="0.3">
      <c r="A126" s="13"/>
    </row>
    <row r="127" spans="1:1" x14ac:dyDescent="0.3">
      <c r="A127" s="13"/>
    </row>
    <row r="128" spans="1:1" x14ac:dyDescent="0.3">
      <c r="A128" s="13"/>
    </row>
    <row r="129" spans="1:1" x14ac:dyDescent="0.3">
      <c r="A129" s="13"/>
    </row>
    <row r="130" spans="1:1" x14ac:dyDescent="0.3">
      <c r="A130" s="13"/>
    </row>
    <row r="131" spans="1:1" x14ac:dyDescent="0.3">
      <c r="A131" s="13"/>
    </row>
    <row r="132" spans="1:1" x14ac:dyDescent="0.3">
      <c r="A132" s="13"/>
    </row>
    <row r="133" spans="1:1" x14ac:dyDescent="0.3">
      <c r="A133" s="13"/>
    </row>
    <row r="134" spans="1:1" x14ac:dyDescent="0.3">
      <c r="A134" s="13"/>
    </row>
    <row r="135" spans="1:1" x14ac:dyDescent="0.3">
      <c r="A135" s="13"/>
    </row>
    <row r="136" spans="1:1" x14ac:dyDescent="0.3">
      <c r="A136" s="13"/>
    </row>
    <row r="137" spans="1:1" x14ac:dyDescent="0.3">
      <c r="A137" s="13"/>
    </row>
    <row r="138" spans="1:1" x14ac:dyDescent="0.3">
      <c r="A138" s="13"/>
    </row>
    <row r="139" spans="1:1" x14ac:dyDescent="0.3">
      <c r="A139" s="13"/>
    </row>
    <row r="140" spans="1:1" x14ac:dyDescent="0.3">
      <c r="A140" s="13"/>
    </row>
    <row r="141" spans="1:1" x14ac:dyDescent="0.3">
      <c r="A141" s="13"/>
    </row>
    <row r="142" spans="1:1" x14ac:dyDescent="0.3">
      <c r="A142" s="13"/>
    </row>
    <row r="143" spans="1:1" x14ac:dyDescent="0.3">
      <c r="A143" s="13"/>
    </row>
    <row r="144" spans="1:1" x14ac:dyDescent="0.3">
      <c r="A144" s="13"/>
    </row>
    <row r="145" spans="1:1" x14ac:dyDescent="0.3">
      <c r="A145" s="13"/>
    </row>
    <row r="146" spans="1:1" x14ac:dyDescent="0.3">
      <c r="A146" s="13"/>
    </row>
    <row r="147" spans="1:1" x14ac:dyDescent="0.3">
      <c r="A147" s="13"/>
    </row>
    <row r="148" spans="1:1" x14ac:dyDescent="0.3">
      <c r="A148" s="13"/>
    </row>
    <row r="149" spans="1:1" x14ac:dyDescent="0.3">
      <c r="A149" s="13"/>
    </row>
    <row r="150" spans="1:1" x14ac:dyDescent="0.3">
      <c r="A150" s="13"/>
    </row>
    <row r="151" spans="1:1" x14ac:dyDescent="0.3">
      <c r="A151" s="13"/>
    </row>
    <row r="152" spans="1:1" x14ac:dyDescent="0.3">
      <c r="A152" s="13"/>
    </row>
    <row r="153" spans="1:1" x14ac:dyDescent="0.3">
      <c r="A153" s="13"/>
    </row>
    <row r="154" spans="1:1" x14ac:dyDescent="0.3">
      <c r="A154" s="13"/>
    </row>
    <row r="155" spans="1:1" x14ac:dyDescent="0.3">
      <c r="A155" s="13"/>
    </row>
    <row r="156" spans="1:1" x14ac:dyDescent="0.3">
      <c r="A156" s="13"/>
    </row>
    <row r="157" spans="1:1" x14ac:dyDescent="0.3">
      <c r="A157" s="13"/>
    </row>
    <row r="158" spans="1:1" x14ac:dyDescent="0.3">
      <c r="A158" s="13"/>
    </row>
    <row r="159" spans="1:1" x14ac:dyDescent="0.3">
      <c r="A159" s="13"/>
    </row>
    <row r="160" spans="1:1" x14ac:dyDescent="0.3">
      <c r="A160" s="13"/>
    </row>
    <row r="161" spans="1:1" x14ac:dyDescent="0.3">
      <c r="A161" s="13"/>
    </row>
    <row r="162" spans="1:1" x14ac:dyDescent="0.3">
      <c r="A162" s="13"/>
    </row>
    <row r="163" spans="1:1" x14ac:dyDescent="0.3">
      <c r="A163" s="13"/>
    </row>
    <row r="164" spans="1:1" x14ac:dyDescent="0.3">
      <c r="A164" s="13"/>
    </row>
    <row r="165" spans="1:1" x14ac:dyDescent="0.3">
      <c r="A165" s="13"/>
    </row>
    <row r="166" spans="1:1" x14ac:dyDescent="0.3">
      <c r="A166" s="13"/>
    </row>
    <row r="167" spans="1:1" x14ac:dyDescent="0.3">
      <c r="A167" s="13"/>
    </row>
    <row r="168" spans="1:1" x14ac:dyDescent="0.3">
      <c r="A168" s="13"/>
    </row>
    <row r="169" spans="1:1" x14ac:dyDescent="0.3">
      <c r="A169" s="13"/>
    </row>
    <row r="170" spans="1:1" x14ac:dyDescent="0.3">
      <c r="A170" s="13"/>
    </row>
    <row r="171" spans="1:1" x14ac:dyDescent="0.3">
      <c r="A171" s="13"/>
    </row>
    <row r="172" spans="1:1" x14ac:dyDescent="0.3">
      <c r="A172" s="13"/>
    </row>
    <row r="173" spans="1:1" x14ac:dyDescent="0.3">
      <c r="A173" s="13"/>
    </row>
    <row r="174" spans="1:1" x14ac:dyDescent="0.3">
      <c r="A174" s="13"/>
    </row>
    <row r="175" spans="1:1" x14ac:dyDescent="0.3">
      <c r="A175" s="13"/>
    </row>
    <row r="176" spans="1:1" x14ac:dyDescent="0.3">
      <c r="A176" s="13"/>
    </row>
    <row r="177" spans="1:1" x14ac:dyDescent="0.3">
      <c r="A177" s="13"/>
    </row>
    <row r="178" spans="1:1" x14ac:dyDescent="0.3">
      <c r="A178" s="13"/>
    </row>
    <row r="179" spans="1:1" x14ac:dyDescent="0.3">
      <c r="A179" s="13"/>
    </row>
    <row r="180" spans="1:1" x14ac:dyDescent="0.3">
      <c r="A180" s="13"/>
    </row>
    <row r="181" spans="1:1" x14ac:dyDescent="0.3">
      <c r="A181" s="13"/>
    </row>
    <row r="182" spans="1:1" x14ac:dyDescent="0.3">
      <c r="A182" s="13"/>
    </row>
    <row r="183" spans="1:1" x14ac:dyDescent="0.3">
      <c r="A183" s="13"/>
    </row>
    <row r="184" spans="1:1" x14ac:dyDescent="0.3">
      <c r="A184" s="13"/>
    </row>
    <row r="185" spans="1:1" x14ac:dyDescent="0.3">
      <c r="A185" s="13"/>
    </row>
    <row r="186" spans="1:1" x14ac:dyDescent="0.3">
      <c r="A186" s="13"/>
    </row>
    <row r="187" spans="1:1" x14ac:dyDescent="0.3">
      <c r="A187" s="13"/>
    </row>
    <row r="188" spans="1:1" x14ac:dyDescent="0.3">
      <c r="A188" s="13"/>
    </row>
    <row r="189" spans="1:1" x14ac:dyDescent="0.3">
      <c r="A189" s="13"/>
    </row>
    <row r="190" spans="1:1" x14ac:dyDescent="0.3">
      <c r="A190" s="13"/>
    </row>
    <row r="191" spans="1:1" x14ac:dyDescent="0.3">
      <c r="A191" s="13"/>
    </row>
    <row r="192" spans="1:1" x14ac:dyDescent="0.3">
      <c r="A192" s="13"/>
    </row>
    <row r="193" spans="1:1" x14ac:dyDescent="0.3">
      <c r="A193" s="13"/>
    </row>
    <row r="194" spans="1:1" x14ac:dyDescent="0.3">
      <c r="A194" s="13"/>
    </row>
    <row r="195" spans="1:1" x14ac:dyDescent="0.3">
      <c r="A195" s="13"/>
    </row>
    <row r="196" spans="1:1" x14ac:dyDescent="0.3">
      <c r="A196" s="13"/>
    </row>
    <row r="197" spans="1:1" x14ac:dyDescent="0.3">
      <c r="A197" s="13"/>
    </row>
    <row r="198" spans="1:1" x14ac:dyDescent="0.3">
      <c r="A198" s="13"/>
    </row>
    <row r="199" spans="1:1" x14ac:dyDescent="0.3">
      <c r="A199" s="13"/>
    </row>
    <row r="200" spans="1:1" x14ac:dyDescent="0.3">
      <c r="A200" s="13"/>
    </row>
    <row r="201" spans="1:1" x14ac:dyDescent="0.3">
      <c r="A201" s="13"/>
    </row>
    <row r="202" spans="1:1" x14ac:dyDescent="0.3">
      <c r="A202" s="13"/>
    </row>
    <row r="203" spans="1:1" x14ac:dyDescent="0.3">
      <c r="A203" s="13"/>
    </row>
    <row r="204" spans="1:1" x14ac:dyDescent="0.3">
      <c r="A204" s="13"/>
    </row>
    <row r="205" spans="1:1" x14ac:dyDescent="0.3">
      <c r="A205" s="13"/>
    </row>
    <row r="206" spans="1:1" x14ac:dyDescent="0.3">
      <c r="A206" s="13"/>
    </row>
    <row r="207" spans="1:1" x14ac:dyDescent="0.3">
      <c r="A207" s="13"/>
    </row>
    <row r="208" spans="1:1" x14ac:dyDescent="0.3">
      <c r="A208" s="13"/>
    </row>
    <row r="209" spans="1:1" x14ac:dyDescent="0.3">
      <c r="A209" s="13"/>
    </row>
    <row r="210" spans="1:1" x14ac:dyDescent="0.3">
      <c r="A210" s="13"/>
    </row>
    <row r="211" spans="1:1" x14ac:dyDescent="0.3">
      <c r="A211" s="13"/>
    </row>
    <row r="212" spans="1:1" x14ac:dyDescent="0.3">
      <c r="A212" s="13"/>
    </row>
    <row r="213" spans="1:1" x14ac:dyDescent="0.3">
      <c r="A213" s="13"/>
    </row>
    <row r="214" spans="1:1" x14ac:dyDescent="0.3">
      <c r="A214" s="13"/>
    </row>
    <row r="215" spans="1:1" x14ac:dyDescent="0.3">
      <c r="A215" s="13"/>
    </row>
    <row r="216" spans="1:1" x14ac:dyDescent="0.3">
      <c r="A216" s="13"/>
    </row>
    <row r="217" spans="1:1" x14ac:dyDescent="0.3">
      <c r="A217" s="13"/>
    </row>
    <row r="218" spans="1:1" x14ac:dyDescent="0.3">
      <c r="A218" s="13"/>
    </row>
    <row r="219" spans="1:1" x14ac:dyDescent="0.3">
      <c r="A219" s="13"/>
    </row>
    <row r="220" spans="1:1" x14ac:dyDescent="0.3">
      <c r="A220" s="13"/>
    </row>
    <row r="221" spans="1:1" x14ac:dyDescent="0.3">
      <c r="A221" s="13"/>
    </row>
    <row r="222" spans="1:1" x14ac:dyDescent="0.3">
      <c r="A222" s="13"/>
    </row>
    <row r="223" spans="1:1" x14ac:dyDescent="0.3">
      <c r="A223" s="13"/>
    </row>
    <row r="224" spans="1:1" x14ac:dyDescent="0.3">
      <c r="A224" s="13"/>
    </row>
    <row r="225" spans="1:1" x14ac:dyDescent="0.3">
      <c r="A225" s="13"/>
    </row>
    <row r="226" spans="1:1" x14ac:dyDescent="0.3">
      <c r="A226" s="13"/>
    </row>
    <row r="227" spans="1:1" x14ac:dyDescent="0.3">
      <c r="A227" s="13"/>
    </row>
    <row r="228" spans="1:1" x14ac:dyDescent="0.3">
      <c r="A228" s="13"/>
    </row>
    <row r="229" spans="1:1" x14ac:dyDescent="0.3">
      <c r="A229" s="13"/>
    </row>
    <row r="230" spans="1:1" x14ac:dyDescent="0.3">
      <c r="A230" s="13"/>
    </row>
    <row r="231" spans="1:1" x14ac:dyDescent="0.3">
      <c r="A231" s="13"/>
    </row>
    <row r="232" spans="1:1" x14ac:dyDescent="0.3">
      <c r="A232" s="13"/>
    </row>
    <row r="233" spans="1:1" x14ac:dyDescent="0.3">
      <c r="A233" s="13"/>
    </row>
    <row r="234" spans="1:1" x14ac:dyDescent="0.3">
      <c r="A234" s="13"/>
    </row>
    <row r="235" spans="1:1" x14ac:dyDescent="0.3">
      <c r="A235" s="13"/>
    </row>
    <row r="236" spans="1:1" x14ac:dyDescent="0.3">
      <c r="A236" s="13"/>
    </row>
    <row r="237" spans="1:1" x14ac:dyDescent="0.3">
      <c r="A237" s="13"/>
    </row>
    <row r="238" spans="1:1" x14ac:dyDescent="0.3">
      <c r="A238" s="13"/>
    </row>
    <row r="239" spans="1:1" x14ac:dyDescent="0.3">
      <c r="A239" s="13"/>
    </row>
    <row r="240" spans="1:1" x14ac:dyDescent="0.3">
      <c r="A240" s="13"/>
    </row>
    <row r="241" spans="1:1" x14ac:dyDescent="0.3">
      <c r="A241" s="13"/>
    </row>
    <row r="242" spans="1:1" x14ac:dyDescent="0.3">
      <c r="A242" s="13"/>
    </row>
    <row r="243" spans="1:1" x14ac:dyDescent="0.3">
      <c r="A243" s="13"/>
    </row>
    <row r="244" spans="1:1" x14ac:dyDescent="0.3">
      <c r="A244" s="13"/>
    </row>
    <row r="245" spans="1:1" x14ac:dyDescent="0.3">
      <c r="A245" s="13"/>
    </row>
    <row r="246" spans="1:1" x14ac:dyDescent="0.3">
      <c r="A246" s="13"/>
    </row>
    <row r="247" spans="1:1" x14ac:dyDescent="0.3">
      <c r="A247" s="13"/>
    </row>
    <row r="248" spans="1:1" x14ac:dyDescent="0.3">
      <c r="A248" s="13"/>
    </row>
    <row r="249" spans="1:1" x14ac:dyDescent="0.3">
      <c r="A249" s="13"/>
    </row>
    <row r="250" spans="1:1" x14ac:dyDescent="0.3">
      <c r="A250" s="13"/>
    </row>
    <row r="251" spans="1:1" x14ac:dyDescent="0.3">
      <c r="A251" s="13"/>
    </row>
    <row r="252" spans="1:1" x14ac:dyDescent="0.3">
      <c r="A252" s="13"/>
    </row>
    <row r="253" spans="1:1" x14ac:dyDescent="0.3">
      <c r="A253" s="13"/>
    </row>
    <row r="254" spans="1:1" x14ac:dyDescent="0.3">
      <c r="A254" s="13"/>
    </row>
    <row r="255" spans="1:1" x14ac:dyDescent="0.3">
      <c r="A255" s="13"/>
    </row>
    <row r="256" spans="1:1" x14ac:dyDescent="0.3">
      <c r="A256" s="13"/>
    </row>
    <row r="257" spans="1:1" x14ac:dyDescent="0.3">
      <c r="A257" s="13"/>
    </row>
    <row r="258" spans="1:1" x14ac:dyDescent="0.3">
      <c r="A258" s="13"/>
    </row>
    <row r="259" spans="1:1" x14ac:dyDescent="0.3">
      <c r="A259" s="13"/>
    </row>
    <row r="260" spans="1:1" x14ac:dyDescent="0.3">
      <c r="A260" s="13"/>
    </row>
    <row r="261" spans="1:1" x14ac:dyDescent="0.3">
      <c r="A261" s="13"/>
    </row>
    <row r="262" spans="1:1" x14ac:dyDescent="0.3">
      <c r="A262" s="13"/>
    </row>
    <row r="263" spans="1:1" x14ac:dyDescent="0.3">
      <c r="A263" s="13"/>
    </row>
    <row r="264" spans="1:1" x14ac:dyDescent="0.3">
      <c r="A264" s="13"/>
    </row>
    <row r="265" spans="1:1" x14ac:dyDescent="0.3">
      <c r="A265" s="13"/>
    </row>
    <row r="266" spans="1:1" x14ac:dyDescent="0.3">
      <c r="A266" s="13"/>
    </row>
    <row r="267" spans="1:1" x14ac:dyDescent="0.3">
      <c r="A267" s="13"/>
    </row>
    <row r="268" spans="1:1" x14ac:dyDescent="0.3">
      <c r="A268" s="13"/>
    </row>
    <row r="269" spans="1:1" x14ac:dyDescent="0.3">
      <c r="A269" s="13"/>
    </row>
    <row r="270" spans="1:1" x14ac:dyDescent="0.3">
      <c r="A270" s="13"/>
    </row>
    <row r="271" spans="1:1" x14ac:dyDescent="0.3">
      <c r="A271" s="13"/>
    </row>
    <row r="272" spans="1:1" x14ac:dyDescent="0.3">
      <c r="A272" s="13"/>
    </row>
    <row r="273" spans="1:1" x14ac:dyDescent="0.3">
      <c r="A273" s="13"/>
    </row>
    <row r="274" spans="1:1" x14ac:dyDescent="0.3">
      <c r="A274" s="13"/>
    </row>
    <row r="275" spans="1:1" x14ac:dyDescent="0.3">
      <c r="A275" s="13"/>
    </row>
    <row r="276" spans="1:1" x14ac:dyDescent="0.3">
      <c r="A276" s="13"/>
    </row>
    <row r="277" spans="1:1" x14ac:dyDescent="0.3">
      <c r="A277" s="13"/>
    </row>
    <row r="278" spans="1:1" x14ac:dyDescent="0.3">
      <c r="A278" s="13"/>
    </row>
  </sheetData>
  <mergeCells count="3">
    <mergeCell ref="A1:D1"/>
    <mergeCell ref="A2:D2"/>
    <mergeCell ref="A3:D3"/>
  </mergeCells>
  <pageMargins left="0.70866141732283472" right="0.70866141732283472" top="0.74803149606299213" bottom="0.74803149606299213" header="0.31496062992125984" footer="0.31496062992125984"/>
  <pageSetup paperSize="9" scale="88"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A3AA9-D1EA-47D0-925F-9752FFC2AC95}">
  <sheetPr>
    <pageSetUpPr fitToPage="1"/>
  </sheetPr>
  <dimension ref="A1:V35"/>
  <sheetViews>
    <sheetView topLeftCell="D5" zoomScale="90" zoomScaleNormal="90" workbookViewId="0">
      <selection activeCell="O15" sqref="O15"/>
    </sheetView>
  </sheetViews>
  <sheetFormatPr defaultColWidth="9.140625" defaultRowHeight="14.25" x14ac:dyDescent="0.2"/>
  <cols>
    <col min="1" max="1" width="10.85546875" style="213" customWidth="1"/>
    <col min="2" max="2" width="9.140625" style="213"/>
    <col min="3" max="3" width="32.5703125" style="213" customWidth="1"/>
    <col min="4" max="4" width="9.140625" style="213"/>
    <col min="5" max="5" width="3.28515625" style="213" customWidth="1"/>
    <col min="6" max="6" width="9.140625" style="213" customWidth="1"/>
    <col min="7" max="7" width="10.140625" style="213" customWidth="1"/>
    <col min="8" max="8" width="9.5703125" style="213" customWidth="1"/>
    <col min="9" max="11" width="9.140625" style="213" hidden="1" customWidth="1"/>
    <col min="12" max="12" width="13.28515625" style="213" customWidth="1"/>
    <col min="13" max="13" width="50.42578125" style="214" bestFit="1" customWidth="1"/>
    <col min="14" max="14" width="86" style="213" bestFit="1" customWidth="1"/>
    <col min="15" max="16384" width="9.140625" style="213"/>
  </cols>
  <sheetData>
    <row r="1" spans="1:14" ht="18" x14ac:dyDescent="0.2">
      <c r="A1" s="389" t="s">
        <v>152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233"/>
    </row>
    <row r="2" spans="1:14" ht="15.75" x14ac:dyDescent="0.2">
      <c r="A2" s="235" t="s">
        <v>151</v>
      </c>
      <c r="B2" s="226"/>
      <c r="C2" s="236"/>
      <c r="D2" s="226"/>
      <c r="E2" s="226"/>
      <c r="F2" s="226"/>
      <c r="G2" s="226"/>
      <c r="H2" s="226"/>
      <c r="I2" s="226"/>
      <c r="J2" s="226"/>
      <c r="K2" s="226"/>
      <c r="L2" s="233"/>
    </row>
    <row r="3" spans="1:14" ht="15.75" x14ac:dyDescent="0.2">
      <c r="A3" s="235" t="s">
        <v>150</v>
      </c>
      <c r="C3" s="234"/>
      <c r="L3" s="233"/>
    </row>
    <row r="4" spans="1:14" x14ac:dyDescent="0.2">
      <c r="A4" s="232" t="s">
        <v>149</v>
      </c>
    </row>
    <row r="5" spans="1:14" x14ac:dyDescent="0.2">
      <c r="A5" s="392" t="s">
        <v>148</v>
      </c>
      <c r="B5" s="393"/>
      <c r="C5" s="393"/>
      <c r="D5" s="393"/>
      <c r="E5" s="393"/>
      <c r="F5" s="393"/>
      <c r="G5" s="393"/>
      <c r="H5" s="393"/>
    </row>
    <row r="6" spans="1:14" x14ac:dyDescent="0.2">
      <c r="A6" s="231"/>
    </row>
    <row r="7" spans="1:14" ht="15" x14ac:dyDescent="0.25">
      <c r="A7" s="231"/>
      <c r="D7" s="217"/>
      <c r="F7" s="217"/>
      <c r="N7" s="227"/>
    </row>
    <row r="8" spans="1:14" ht="44.25" x14ac:dyDescent="0.25">
      <c r="D8" s="228" t="s">
        <v>72</v>
      </c>
      <c r="E8" s="227"/>
      <c r="F8" s="228" t="s">
        <v>196</v>
      </c>
      <c r="G8" s="228" t="s">
        <v>147</v>
      </c>
      <c r="H8" s="228" t="s">
        <v>147</v>
      </c>
      <c r="I8" s="228"/>
      <c r="J8" s="228"/>
      <c r="K8" s="228"/>
      <c r="L8" s="230" t="s">
        <v>146</v>
      </c>
      <c r="M8" s="220" t="s">
        <v>145</v>
      </c>
      <c r="N8" s="229" t="s">
        <v>144</v>
      </c>
    </row>
    <row r="9" spans="1:14" ht="15" x14ac:dyDescent="0.25">
      <c r="D9" s="228" t="s">
        <v>28</v>
      </c>
      <c r="E9" s="227"/>
      <c r="F9" s="228" t="s">
        <v>28</v>
      </c>
      <c r="G9" s="228" t="s">
        <v>28</v>
      </c>
      <c r="H9" s="228" t="s">
        <v>143</v>
      </c>
      <c r="I9" s="228"/>
      <c r="J9" s="228"/>
      <c r="K9" s="227"/>
      <c r="L9" s="227"/>
      <c r="N9" s="214"/>
    </row>
    <row r="10" spans="1:14" ht="15" thickBot="1" x14ac:dyDescent="0.25">
      <c r="D10" s="217"/>
      <c r="E10" s="217"/>
      <c r="N10" s="214"/>
    </row>
    <row r="11" spans="1:14" ht="29.25" thickBot="1" x14ac:dyDescent="0.25">
      <c r="A11" s="390" t="s">
        <v>142</v>
      </c>
      <c r="B11" s="390"/>
      <c r="C11" s="390"/>
      <c r="D11" s="222">
        <v>14994</v>
      </c>
      <c r="F11" s="222">
        <v>15752</v>
      </c>
      <c r="G11" s="221"/>
      <c r="M11" s="220" t="str">
        <f>IF(F11=D23,"Explanation of % variance from PY opening balance not required - Balance brought forward agrees","Explanation of % variance from PY opening balance not required - Balance brought forward does not agree, query this")</f>
        <v>Explanation of % variance from PY opening balance not required - Balance brought forward agrees</v>
      </c>
      <c r="N11" s="219"/>
    </row>
    <row r="12" spans="1:14" ht="15" thickBot="1" x14ac:dyDescent="0.25">
      <c r="D12" s="221"/>
      <c r="F12" s="221"/>
      <c r="N12" s="214"/>
    </row>
    <row r="13" spans="1:14" ht="15" thickBot="1" x14ac:dyDescent="0.25">
      <c r="A13" s="394" t="s">
        <v>141</v>
      </c>
      <c r="B13" s="395"/>
      <c r="C13" s="396"/>
      <c r="D13" s="222">
        <v>14600</v>
      </c>
      <c r="F13" s="222" t="e">
        <f>SUM('Bank Account'!#REF!)</f>
        <v>#REF!</v>
      </c>
      <c r="G13" s="221" t="e">
        <f>F13-D13</f>
        <v>#REF!</v>
      </c>
      <c r="H13" s="218" t="e">
        <f>IF((D13&gt;F13),(D13-F13)/D13,IF(D13&lt;F13,-(D13-F13)/D13,IF(D13=F13,0)))</f>
        <v>#REF!</v>
      </c>
      <c r="I13" s="213" t="e">
        <f>IF(D13-F13&lt;200,0,IF(D13-F13&gt;200,1,IF(D13-F13=200,1)))</f>
        <v>#REF!</v>
      </c>
      <c r="J13" s="213" t="e">
        <f>IF(F13-D13&lt;200,0,IF(F13-D13&gt;200,1,IF(F13-D13=200,1)))</f>
        <v>#REF!</v>
      </c>
      <c r="K13" s="217" t="e">
        <f>IF(H13&lt;0.15,0,IF(H13&gt;0.15,1,IF(H13=0.15,1)))</f>
        <v>#REF!</v>
      </c>
      <c r="L13" s="217" t="e">
        <f>IF((H13&lt;15%)*AND(G13&lt;100000)*OR(G13&gt;-100000), "NO","YES")</f>
        <v>#REF!</v>
      </c>
      <c r="M13" s="220" t="e">
        <f>IF((L13="YES")*AND(I13+J13&lt;1),"Explanation not required, difference less than £200"," ")</f>
        <v>#REF!</v>
      </c>
      <c r="N13" s="219"/>
    </row>
    <row r="14" spans="1:14" ht="15" thickBot="1" x14ac:dyDescent="0.25">
      <c r="D14" s="221"/>
      <c r="F14" s="221"/>
      <c r="G14" s="221"/>
      <c r="H14" s="218"/>
      <c r="K14" s="217"/>
      <c r="L14" s="217"/>
      <c r="N14" s="214"/>
    </row>
    <row r="15" spans="1:14" ht="43.5" thickBot="1" x14ac:dyDescent="0.25">
      <c r="A15" s="391" t="s">
        <v>140</v>
      </c>
      <c r="B15" s="391"/>
      <c r="C15" s="391"/>
      <c r="D15" s="222">
        <v>6386</v>
      </c>
      <c r="F15" s="222" t="e">
        <f>SUM('Annual Return'!D7)</f>
        <v>#REF!</v>
      </c>
      <c r="G15" s="221" t="e">
        <f>F15-D15</f>
        <v>#REF!</v>
      </c>
      <c r="H15" s="218" t="e">
        <f>IF((D15&gt;F15),(D15-F15)/D15,IF(D15&lt;F15,-(D15-F15)/D15,IF(D15=F15,0)))</f>
        <v>#REF!</v>
      </c>
      <c r="I15" s="213" t="e">
        <f>IF(D15-F15&lt;200,0,IF(D15-F15&gt;200,1,IF(D15-F15=200,1)))</f>
        <v>#REF!</v>
      </c>
      <c r="J15" s="213" t="e">
        <f>IF(F15-D15&lt;200,0,IF(F15-D15&gt;200,1,IF(F15-D15=200,1)))</f>
        <v>#REF!</v>
      </c>
      <c r="K15" s="217" t="e">
        <f>IF(H15&lt;0.15,0,IF(H15&gt;0.15,1,IF(H15=0.15,1)))</f>
        <v>#REF!</v>
      </c>
      <c r="L15" s="217" t="e">
        <f>IF((H15&lt;15%)*AND(G15&lt;100000)*OR(G15&gt;-100000), "NO","YES")</f>
        <v>#REF!</v>
      </c>
      <c r="M15" s="220" t="e">
        <f>IF((L15="YES")*AND(I15+J15&lt;1),"Explanation not required, difference less than £200"," ")</f>
        <v>#REF!</v>
      </c>
      <c r="N15" s="219" t="s">
        <v>471</v>
      </c>
    </row>
    <row r="16" spans="1:14" ht="15" thickBot="1" x14ac:dyDescent="0.25">
      <c r="D16" s="221"/>
      <c r="F16" s="221"/>
      <c r="G16" s="221"/>
      <c r="H16" s="218"/>
      <c r="K16" s="217"/>
      <c r="L16" s="217"/>
      <c r="N16" s="214"/>
    </row>
    <row r="17" spans="1:22" ht="15" thickBot="1" x14ac:dyDescent="0.25">
      <c r="A17" s="391" t="s">
        <v>139</v>
      </c>
      <c r="B17" s="391"/>
      <c r="C17" s="391"/>
      <c r="D17" s="222">
        <v>5248</v>
      </c>
      <c r="F17" s="222" t="e">
        <f>SUM('Bank Account'!#REF!)</f>
        <v>#REF!</v>
      </c>
      <c r="G17" s="221" t="e">
        <f>F17-D17</f>
        <v>#REF!</v>
      </c>
      <c r="H17" s="218" t="e">
        <f>IF((D17&gt;F17),(D17-F17)/D17,IF(D17&lt;F17,-(D17-F17)/D17,IF(D17=F17,0)))</f>
        <v>#REF!</v>
      </c>
      <c r="I17" s="213" t="e">
        <f>IF(D17-F17&lt;200,0,IF(D17-F17&gt;200,1,IF(D17-F17=200,1)))</f>
        <v>#REF!</v>
      </c>
      <c r="J17" s="213" t="e">
        <f>IF(F17-D17&lt;200,0,IF(F17-D17&gt;200,1,IF(F17-D17=200,1)))</f>
        <v>#REF!</v>
      </c>
      <c r="K17" s="217" t="e">
        <f>IF(H17&lt;0.15,0,IF(H17&gt;0.15,1,IF(H17=0.15,1)))</f>
        <v>#REF!</v>
      </c>
      <c r="L17" s="217" t="e">
        <f>IF((H17&lt;15%)*AND(G17&lt;100000)*OR(G17&gt;-100000), "NO","YES")</f>
        <v>#REF!</v>
      </c>
      <c r="M17" s="220" t="e">
        <f>IF((L17="YES")*AND(I17+J17&lt;1),"Explanation not required, difference less than £200"," ")</f>
        <v>#REF!</v>
      </c>
      <c r="N17" s="219"/>
    </row>
    <row r="18" spans="1:22" ht="15" thickBot="1" x14ac:dyDescent="0.25">
      <c r="D18" s="221"/>
      <c r="F18" s="221"/>
      <c r="G18" s="221"/>
      <c r="H18" s="218"/>
      <c r="K18" s="217"/>
      <c r="L18" s="217"/>
      <c r="N18" s="214"/>
    </row>
    <row r="19" spans="1:22" ht="15" thickBot="1" x14ac:dyDescent="0.25">
      <c r="A19" s="391" t="s">
        <v>138</v>
      </c>
      <c r="B19" s="391"/>
      <c r="C19" s="391"/>
      <c r="D19" s="222">
        <v>0</v>
      </c>
      <c r="F19" s="222">
        <v>0</v>
      </c>
      <c r="G19" s="221">
        <f>F19-D19</f>
        <v>0</v>
      </c>
      <c r="H19" s="218">
        <f>IF((D19&gt;F19),(D19-F19)/D19,IF(D19&lt;F19,-(D19-F19)/D19,IF(D19=F19,0)))</f>
        <v>0</v>
      </c>
      <c r="I19" s="213">
        <f>IF(D19-F19&lt;200,0,IF(D19-F19&gt;200,1,IF(D19-F19=200,1)))</f>
        <v>0</v>
      </c>
      <c r="J19" s="213">
        <f>IF(F19-D19&lt;200,0,IF(F19-D19&gt;200,1,IF(F19-D19=200,1)))</f>
        <v>0</v>
      </c>
      <c r="K19" s="217">
        <f>IF(H19&lt;0.15,0,IF(H19&gt;0.15,1,IF(H19=0.15,1)))</f>
        <v>0</v>
      </c>
      <c r="L19" s="217" t="str">
        <f>IF((H19&lt;15%)*AND(G19&lt;100000)*OR(G19&gt;-100000), "NO","YES")</f>
        <v>NO</v>
      </c>
      <c r="M19" s="220" t="str">
        <f>IF((L19="YES")*AND(I19+J19&lt;1),"Explanation not required, difference less than £200"," ")</f>
        <v xml:space="preserve"> </v>
      </c>
      <c r="N19" s="219"/>
    </row>
    <row r="20" spans="1:22" ht="15" thickBot="1" x14ac:dyDescent="0.25">
      <c r="D20" s="221"/>
      <c r="F20" s="221"/>
      <c r="G20" s="221"/>
      <c r="H20" s="218"/>
      <c r="K20" s="217"/>
      <c r="L20" s="217"/>
      <c r="N20" s="214"/>
    </row>
    <row r="21" spans="1:22" ht="57.75" thickBot="1" x14ac:dyDescent="0.25">
      <c r="A21" s="391" t="s">
        <v>137</v>
      </c>
      <c r="B21" s="391"/>
      <c r="C21" s="391"/>
      <c r="D21" s="222">
        <v>14980</v>
      </c>
      <c r="F21" s="222" t="e">
        <f>SUM('Annual Return'!D10)</f>
        <v>#REF!</v>
      </c>
      <c r="G21" s="221" t="e">
        <f>F21-D21</f>
        <v>#REF!</v>
      </c>
      <c r="H21" s="218" t="e">
        <f>IF((D21&gt;F21),(D21-F21)/D21,IF(D21&lt;F21,-(D21-F21)/D21,IF(D21=F21,0)))</f>
        <v>#REF!</v>
      </c>
      <c r="I21" s="213" t="e">
        <f>IF(D21-F21&lt;200,0,IF(D21-F21&gt;200,1,IF(D21-F21=200,1)))</f>
        <v>#REF!</v>
      </c>
      <c r="J21" s="213" t="e">
        <f>IF(F21-D21&lt;200,0,IF(F21-D21&gt;200,1,IF(F21-D21=200,1)))</f>
        <v>#REF!</v>
      </c>
      <c r="K21" s="217" t="e">
        <f>IF(H21&lt;0.15,0,IF(H21&gt;0.15,1,IF(H21=0.15,1)))</f>
        <v>#REF!</v>
      </c>
      <c r="L21" s="217" t="e">
        <f>IF((H21&lt;15%)*AND(G21&lt;100000)*OR(G21&gt;-100000), "NO","YES")</f>
        <v>#REF!</v>
      </c>
      <c r="M21" s="220" t="e">
        <f>IF((L21="YES")*AND(I21+J21&lt;1),"Explanation not required, difference less than £200"," ")</f>
        <v>#REF!</v>
      </c>
      <c r="N21" s="219" t="s">
        <v>472</v>
      </c>
    </row>
    <row r="22" spans="1:22" ht="15" thickBot="1" x14ac:dyDescent="0.25">
      <c r="D22" s="221"/>
      <c r="F22" s="221"/>
      <c r="G22" s="221"/>
      <c r="H22" s="218"/>
      <c r="K22" s="217"/>
      <c r="L22" s="217"/>
      <c r="N22" s="214"/>
    </row>
    <row r="23" spans="1:22" ht="15" thickBot="1" x14ac:dyDescent="0.25">
      <c r="A23" s="223" t="s">
        <v>136</v>
      </c>
      <c r="D23" s="225">
        <f>D11+D13+D15-D17-D19-D21</f>
        <v>15752</v>
      </c>
      <c r="F23" s="225" t="e">
        <f>F11+F13+F15-F17-F19-F21</f>
        <v>#REF!</v>
      </c>
      <c r="G23" s="221"/>
      <c r="H23" s="218"/>
      <c r="K23" s="217"/>
      <c r="L23" s="217"/>
      <c r="M23" s="224" t="s">
        <v>134</v>
      </c>
      <c r="N23" s="214"/>
    </row>
    <row r="24" spans="1:22" ht="15" thickBot="1" x14ac:dyDescent="0.25">
      <c r="D24" s="221"/>
      <c r="F24" s="221"/>
      <c r="G24" s="221"/>
      <c r="H24" s="218"/>
      <c r="K24" s="217"/>
      <c r="L24" s="217"/>
      <c r="N24" s="214"/>
    </row>
    <row r="25" spans="1:22" ht="15" thickBot="1" x14ac:dyDescent="0.25">
      <c r="A25" s="391" t="s">
        <v>135</v>
      </c>
      <c r="B25" s="391"/>
      <c r="C25" s="391"/>
      <c r="D25" s="222">
        <v>15752</v>
      </c>
      <c r="F25" s="222" t="e">
        <f>SUM('Bank Recon'!D37)</f>
        <v>#REF!</v>
      </c>
      <c r="G25" s="221"/>
      <c r="H25" s="218"/>
      <c r="K25" s="217"/>
      <c r="L25" s="217"/>
      <c r="M25" s="224" t="s">
        <v>134</v>
      </c>
      <c r="N25" s="214"/>
    </row>
    <row r="26" spans="1:22" ht="15" thickBot="1" x14ac:dyDescent="0.25">
      <c r="D26" s="221"/>
      <c r="F26" s="221"/>
      <c r="G26" s="221"/>
      <c r="H26" s="218"/>
      <c r="K26" s="217"/>
      <c r="L26" s="217"/>
      <c r="N26" s="214"/>
    </row>
    <row r="27" spans="1:22" ht="15" thickBot="1" x14ac:dyDescent="0.25">
      <c r="A27" s="391" t="s">
        <v>133</v>
      </c>
      <c r="B27" s="391"/>
      <c r="C27" s="391"/>
      <c r="D27" s="222">
        <v>60377</v>
      </c>
      <c r="F27" s="222">
        <v>60377</v>
      </c>
      <c r="G27" s="221">
        <f>F27-D27</f>
        <v>0</v>
      </c>
      <c r="H27" s="218">
        <f>IF((D27&gt;F27),(D27-F27)/D27,IF(D27&lt;F27,-(D27-F27)/D27,IF(D27=F27,0)))</f>
        <v>0</v>
      </c>
      <c r="I27" s="213">
        <f>IF(D27-F27&lt;200,0,IF(D27-F27&gt;200,1,IF(D27-F27=200,1)))</f>
        <v>0</v>
      </c>
      <c r="J27" s="213">
        <f>IF(F27-D27&lt;200,0,IF(F27-D27&gt;200,1,IF(F27-D27=200,1)))</f>
        <v>0</v>
      </c>
      <c r="K27" s="217">
        <f>IF(H27&lt;0.15,0,IF(H27&gt;0.15,1,IF(H27=0.15,1)))</f>
        <v>0</v>
      </c>
      <c r="L27" s="217" t="str">
        <f>IF((H27&lt;15%)*AND(G27&lt;100000)*OR(G27&gt;-100000), "NO","YES")</f>
        <v>NO</v>
      </c>
      <c r="M27" s="220" t="str">
        <f>IF((L27="YES")*AND(I27+J27&lt;1),"Explanation not required, difference less than £200"," ")</f>
        <v xml:space="preserve"> </v>
      </c>
      <c r="N27" s="219"/>
    </row>
    <row r="28" spans="1:22" ht="15" thickBot="1" x14ac:dyDescent="0.25">
      <c r="D28" s="221"/>
      <c r="F28" s="221"/>
      <c r="G28" s="221"/>
      <c r="H28" s="218"/>
      <c r="K28" s="217"/>
      <c r="L28" s="217"/>
      <c r="N28" s="214"/>
    </row>
    <row r="29" spans="1:22" ht="15" thickBot="1" x14ac:dyDescent="0.25">
      <c r="A29" s="391" t="s">
        <v>132</v>
      </c>
      <c r="B29" s="391"/>
      <c r="C29" s="391"/>
      <c r="D29" s="222">
        <v>0</v>
      </c>
      <c r="F29" s="222">
        <v>0</v>
      </c>
      <c r="G29" s="221">
        <f>F29-D29</f>
        <v>0</v>
      </c>
      <c r="H29" s="218">
        <f>IF((D29&gt;F29),(D29-F29)/D29,IF(D29&lt;F29,-(D29-F29)/D29,IF(D29=F29,0)))</f>
        <v>0</v>
      </c>
      <c r="I29" s="213">
        <f>IF(D29-F29&lt;100,0,IF(D29-F29&gt;100,1,IF(D29-F29=100,1)))</f>
        <v>0</v>
      </c>
      <c r="J29" s="213">
        <f>IF(F29-D29&lt;100,0,IF(F29-D29&gt;100,1,IF(F29-D29=100,1)))</f>
        <v>0</v>
      </c>
      <c r="K29" s="217">
        <f>IF(H29&lt;0.15,0,IF(H29&gt;0.15,1,IF(H29=0.15,1)))</f>
        <v>0</v>
      </c>
      <c r="L29" s="217" t="str">
        <f>IF((H29&lt;15%)*AND(G29&lt;100000)*OR(G29&gt;-100000), "NO","YES")</f>
        <v>NO</v>
      </c>
      <c r="M29" s="220" t="str">
        <f>IF((L29="YES")*AND(I29+J29&lt;1),"Explanation not required, difference less than £200"," ")</f>
        <v xml:space="preserve"> </v>
      </c>
      <c r="N29" s="219"/>
    </row>
    <row r="30" spans="1:22" x14ac:dyDescent="0.2">
      <c r="H30" s="218"/>
      <c r="K30" s="217"/>
      <c r="L30" s="217"/>
      <c r="N30" s="214"/>
    </row>
    <row r="31" spans="1:22" ht="15" x14ac:dyDescent="0.25">
      <c r="C31" s="215" t="s">
        <v>131</v>
      </c>
    </row>
    <row r="32" spans="1:22" x14ac:dyDescent="0.2">
      <c r="O32" s="216"/>
      <c r="P32" s="216"/>
      <c r="Q32" s="216"/>
      <c r="R32" s="216"/>
      <c r="S32" s="216"/>
      <c r="T32" s="216"/>
      <c r="U32" s="216"/>
      <c r="V32" s="216"/>
    </row>
    <row r="33" spans="3:22" ht="15" x14ac:dyDescent="0.25">
      <c r="C33" s="215" t="s">
        <v>130</v>
      </c>
      <c r="N33" s="216"/>
      <c r="O33" s="216"/>
      <c r="P33" s="216"/>
      <c r="Q33" s="216"/>
      <c r="R33" s="216"/>
      <c r="S33" s="216"/>
      <c r="T33" s="216"/>
      <c r="U33" s="216"/>
      <c r="V33" s="216"/>
    </row>
    <row r="35" spans="3:22" ht="15" x14ac:dyDescent="0.25">
      <c r="C35" s="215" t="s">
        <v>129</v>
      </c>
    </row>
  </sheetData>
  <mergeCells count="11">
    <mergeCell ref="A1:K1"/>
    <mergeCell ref="A25:C25"/>
    <mergeCell ref="A27:C27"/>
    <mergeCell ref="A5:H5"/>
    <mergeCell ref="A29:C29"/>
    <mergeCell ref="A11:C11"/>
    <mergeCell ref="A13:C13"/>
    <mergeCell ref="A15:C15"/>
    <mergeCell ref="A17:C17"/>
    <mergeCell ref="A19:C19"/>
    <mergeCell ref="A21:C21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7"/>
  <sheetViews>
    <sheetView workbookViewId="0">
      <selection activeCell="O15" sqref="O15"/>
    </sheetView>
  </sheetViews>
  <sheetFormatPr defaultRowHeight="15" x14ac:dyDescent="0.25"/>
  <cols>
    <col min="1" max="1" width="3" bestFit="1" customWidth="1"/>
    <col min="2" max="2" width="22.5703125" customWidth="1"/>
    <col min="3" max="3" width="12.5703125" customWidth="1"/>
    <col min="4" max="4" width="13.42578125" customWidth="1"/>
  </cols>
  <sheetData>
    <row r="1" spans="1:4" x14ac:dyDescent="0.25">
      <c r="A1" s="397" t="s">
        <v>195</v>
      </c>
      <c r="B1" s="397"/>
      <c r="C1" s="397"/>
      <c r="D1" s="397"/>
    </row>
    <row r="2" spans="1:4" x14ac:dyDescent="0.25">
      <c r="A2" s="15"/>
      <c r="B2" s="16"/>
      <c r="C2" s="398" t="s">
        <v>27</v>
      </c>
      <c r="D2" s="398"/>
    </row>
    <row r="3" spans="1:4" x14ac:dyDescent="0.25">
      <c r="A3" s="15"/>
      <c r="B3" s="16"/>
      <c r="C3" s="17">
        <v>45382</v>
      </c>
      <c r="D3" s="17">
        <v>45747</v>
      </c>
    </row>
    <row r="4" spans="1:4" x14ac:dyDescent="0.25">
      <c r="A4" s="18"/>
      <c r="B4" s="19"/>
      <c r="C4" s="20" t="s">
        <v>28</v>
      </c>
      <c r="D4" s="21" t="s">
        <v>28</v>
      </c>
    </row>
    <row r="5" spans="1:4" x14ac:dyDescent="0.25">
      <c r="A5" s="15">
        <v>1</v>
      </c>
      <c r="B5" s="16" t="s">
        <v>29</v>
      </c>
      <c r="C5" s="144">
        <v>14994</v>
      </c>
      <c r="D5" s="144">
        <v>15752</v>
      </c>
    </row>
    <row r="6" spans="1:4" x14ac:dyDescent="0.25">
      <c r="A6" s="15">
        <v>2</v>
      </c>
      <c r="B6" s="16" t="s">
        <v>30</v>
      </c>
      <c r="C6" s="144">
        <f>SUM(#REF!)</f>
        <v>14600</v>
      </c>
      <c r="D6" s="144" t="e">
        <f>SUM('Bank Account'!#REF!)</f>
        <v>#REF!</v>
      </c>
    </row>
    <row r="7" spans="1:4" x14ac:dyDescent="0.25">
      <c r="A7" s="15">
        <v>3</v>
      </c>
      <c r="B7" s="16" t="s">
        <v>31</v>
      </c>
      <c r="C7" s="144">
        <v>6386</v>
      </c>
      <c r="D7" s="144" t="e">
        <f>SUM('Bank Account'!#REF!)+(#REF!)+(#REF!)</f>
        <v>#REF!</v>
      </c>
    </row>
    <row r="8" spans="1:4" x14ac:dyDescent="0.25">
      <c r="A8" s="15">
        <v>4</v>
      </c>
      <c r="B8" s="16" t="s">
        <v>32</v>
      </c>
      <c r="C8" s="144">
        <v>5248</v>
      </c>
      <c r="D8" s="144" t="e">
        <f>SUM('Bank Account'!#REF!)</f>
        <v>#REF!</v>
      </c>
    </row>
    <row r="9" spans="1:4" ht="26.25" x14ac:dyDescent="0.25">
      <c r="A9" s="15">
        <v>5</v>
      </c>
      <c r="B9" s="16" t="s">
        <v>33</v>
      </c>
      <c r="C9" s="144">
        <v>0</v>
      </c>
      <c r="D9" s="144">
        <v>0</v>
      </c>
    </row>
    <row r="10" spans="1:4" x14ac:dyDescent="0.25">
      <c r="A10" s="15">
        <v>6</v>
      </c>
      <c r="B10" s="16" t="s">
        <v>34</v>
      </c>
      <c r="C10" s="144">
        <v>14980</v>
      </c>
      <c r="D10" s="144" t="e">
        <f>SUM('Bank Account'!#REF!)</f>
        <v>#REF!</v>
      </c>
    </row>
    <row r="11" spans="1:4" ht="26.25" x14ac:dyDescent="0.25">
      <c r="A11" s="15">
        <v>7</v>
      </c>
      <c r="B11" s="16" t="s">
        <v>35</v>
      </c>
      <c r="C11" s="144">
        <f>C5+C6+C7-C8-C9-C10</f>
        <v>15752</v>
      </c>
      <c r="D11" s="144" t="e">
        <f>D5+D6+D7-D8-D9-D10</f>
        <v>#REF!</v>
      </c>
    </row>
    <row r="12" spans="1:4" ht="26.25" x14ac:dyDescent="0.25">
      <c r="A12" s="15">
        <v>8</v>
      </c>
      <c r="B12" s="16" t="s">
        <v>36</v>
      </c>
      <c r="C12" s="144">
        <v>15752</v>
      </c>
      <c r="D12" s="144">
        <f>SUM('Bank Recon'!D13)</f>
        <v>12458.509999999998</v>
      </c>
    </row>
    <row r="13" spans="1:4" ht="39" x14ac:dyDescent="0.25">
      <c r="A13" s="15">
        <v>9</v>
      </c>
      <c r="B13" s="16" t="s">
        <v>37</v>
      </c>
      <c r="C13" s="144">
        <v>60377</v>
      </c>
      <c r="D13" s="144">
        <v>60337</v>
      </c>
    </row>
    <row r="14" spans="1:4" x14ac:dyDescent="0.25">
      <c r="A14" s="15">
        <v>10</v>
      </c>
      <c r="B14" s="16" t="s">
        <v>38</v>
      </c>
      <c r="C14" s="144">
        <v>0</v>
      </c>
      <c r="D14" s="144">
        <v>0</v>
      </c>
    </row>
    <row r="15" spans="1:4" ht="15.75" thickBot="1" x14ac:dyDescent="0.3">
      <c r="A15" s="22"/>
      <c r="B15" s="23"/>
      <c r="C15" s="23"/>
      <c r="D15" s="23"/>
    </row>
    <row r="16" spans="1:4" x14ac:dyDescent="0.25">
      <c r="A16" s="24"/>
      <c r="B16" s="24"/>
      <c r="C16" s="25"/>
      <c r="D16" s="26"/>
    </row>
    <row r="17" spans="1:4" x14ac:dyDescent="0.25">
      <c r="A17" s="24"/>
      <c r="B17" s="24"/>
      <c r="C17" s="27"/>
      <c r="D17" s="24"/>
    </row>
  </sheetData>
  <mergeCells count="2">
    <mergeCell ref="A1:D1"/>
    <mergeCell ref="C2:D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65FBB-D954-460D-B7DF-28A83C7A4390}">
  <dimension ref="A1:Q53"/>
  <sheetViews>
    <sheetView zoomScale="90" zoomScaleNormal="90" workbookViewId="0">
      <pane ySplit="1" topLeftCell="A28" activePane="bottomLeft" state="frozen"/>
      <selection activeCell="O15" sqref="O15"/>
      <selection pane="bottomLeft" activeCell="O15" sqref="O15"/>
    </sheetView>
  </sheetViews>
  <sheetFormatPr defaultRowHeight="15" x14ac:dyDescent="0.25"/>
  <cols>
    <col min="1" max="1" width="29.42578125" customWidth="1"/>
    <col min="2" max="2" width="15.85546875" customWidth="1"/>
    <col min="3" max="3" width="12.7109375" customWidth="1"/>
    <col min="4" max="4" width="13.85546875" customWidth="1"/>
    <col min="5" max="5" width="23.85546875" customWidth="1"/>
    <col min="6" max="6" width="12.5703125" customWidth="1"/>
    <col min="7" max="7" width="14" customWidth="1"/>
    <col min="8" max="8" width="13.5703125" customWidth="1"/>
    <col min="9" max="9" width="31" customWidth="1"/>
    <col min="10" max="10" width="14.28515625" customWidth="1"/>
    <col min="11" max="11" width="24.42578125" customWidth="1"/>
    <col min="12" max="12" width="14.140625" bestFit="1" customWidth="1"/>
    <col min="13" max="13" width="12.85546875" customWidth="1"/>
    <col min="14" max="14" width="13.85546875" customWidth="1"/>
    <col min="15" max="16" width="13.5703125" customWidth="1"/>
    <col min="17" max="17" width="12.5703125" customWidth="1"/>
  </cols>
  <sheetData>
    <row r="1" spans="1:17" ht="75" x14ac:dyDescent="0.25">
      <c r="A1" s="156"/>
      <c r="B1" s="157" t="s">
        <v>160</v>
      </c>
      <c r="C1" s="158" t="s">
        <v>161</v>
      </c>
      <c r="D1" s="159" t="s">
        <v>162</v>
      </c>
      <c r="E1" s="159" t="s">
        <v>163</v>
      </c>
      <c r="F1" s="159" t="s">
        <v>164</v>
      </c>
      <c r="G1" s="160" t="s">
        <v>102</v>
      </c>
      <c r="H1" s="161" t="s">
        <v>103</v>
      </c>
      <c r="I1" s="275" t="s">
        <v>104</v>
      </c>
      <c r="K1" s="156"/>
      <c r="L1" s="157" t="s">
        <v>160</v>
      </c>
      <c r="M1" s="158" t="s">
        <v>161</v>
      </c>
      <c r="N1" s="159" t="s">
        <v>162</v>
      </c>
      <c r="O1" s="159" t="s">
        <v>163</v>
      </c>
      <c r="P1" s="159" t="s">
        <v>164</v>
      </c>
      <c r="Q1" s="160" t="s">
        <v>102</v>
      </c>
    </row>
    <row r="2" spans="1:17" x14ac:dyDescent="0.25">
      <c r="A2" s="162" t="s">
        <v>105</v>
      </c>
      <c r="B2" s="163">
        <f t="shared" ref="B2:G2" si="0">SUM(B3:B26)</f>
        <v>19118.43</v>
      </c>
      <c r="C2" s="163">
        <f>SUM(C3:C28)</f>
        <v>17036</v>
      </c>
      <c r="D2" s="163" t="e">
        <f t="shared" si="0"/>
        <v>#REF!</v>
      </c>
      <c r="E2" s="163">
        <f t="shared" si="0"/>
        <v>18009.16</v>
      </c>
      <c r="F2" s="163">
        <f t="shared" si="0"/>
        <v>17167</v>
      </c>
      <c r="G2" s="163">
        <f t="shared" si="0"/>
        <v>131</v>
      </c>
      <c r="H2" s="164"/>
      <c r="I2" s="276"/>
      <c r="K2" s="172" t="s">
        <v>106</v>
      </c>
      <c r="L2" s="173">
        <f>SUM(L3:L12)</f>
        <v>20979.78</v>
      </c>
      <c r="M2" s="173">
        <f>SUM(M3:M13)</f>
        <v>18290</v>
      </c>
      <c r="N2" s="173" t="e">
        <f>SUM(N3:N13)</f>
        <v>#REF!</v>
      </c>
      <c r="O2" s="173">
        <f>SUM(O3:O7)</f>
        <v>17690</v>
      </c>
      <c r="P2" s="173">
        <f>SUM(P3:P13)</f>
        <v>19290</v>
      </c>
      <c r="Q2" s="277">
        <f>SUM(Q3:Q8)</f>
        <v>1000</v>
      </c>
    </row>
    <row r="3" spans="1:17" ht="90" x14ac:dyDescent="0.25">
      <c r="A3" s="278" t="s">
        <v>11</v>
      </c>
      <c r="B3" s="165">
        <f>SUM('2024-25 Running'!A21)</f>
        <v>4829.4399999999996</v>
      </c>
      <c r="C3" s="166">
        <f>SUM('2024-25 Running'!E21)</f>
        <v>5399</v>
      </c>
      <c r="D3" s="167" t="e">
        <f>SUM('2024-25 Running'!I21)</f>
        <v>#REF!</v>
      </c>
      <c r="E3" s="168">
        <v>5566.2</v>
      </c>
      <c r="F3" s="167">
        <v>5700</v>
      </c>
      <c r="G3" s="168">
        <f>SUM($F3-$C3)</f>
        <v>301</v>
      </c>
      <c r="H3" s="169"/>
      <c r="I3" s="211" t="s">
        <v>367</v>
      </c>
      <c r="K3" s="278" t="s">
        <v>5</v>
      </c>
      <c r="L3" s="174">
        <f>SUM('2024-25 Running'!A6)</f>
        <v>14600</v>
      </c>
      <c r="M3" s="279">
        <f>SUM('2024-25 Running'!E6)</f>
        <v>16000</v>
      </c>
      <c r="N3" s="279" t="e">
        <f>SUM('2024-25 Running'!I6)</f>
        <v>#REF!</v>
      </c>
      <c r="O3" s="279">
        <v>16000</v>
      </c>
      <c r="P3" s="279">
        <v>17100</v>
      </c>
      <c r="Q3" s="168">
        <f>P3-M3</f>
        <v>1100</v>
      </c>
    </row>
    <row r="4" spans="1:17" x14ac:dyDescent="0.25">
      <c r="A4" s="278" t="s">
        <v>165</v>
      </c>
      <c r="B4" s="165">
        <f>SUM('2024-25 Running'!A22)</f>
        <v>312</v>
      </c>
      <c r="C4" s="166">
        <f>SUM('2024-25 Running'!E22)</f>
        <v>312</v>
      </c>
      <c r="D4" s="167" t="e">
        <f>SUM('2024-25 Running'!I22)</f>
        <v>#REF!</v>
      </c>
      <c r="E4" s="168">
        <v>312</v>
      </c>
      <c r="F4" s="167">
        <v>312</v>
      </c>
      <c r="G4" s="168">
        <f>SUM(F4-C4)</f>
        <v>0</v>
      </c>
      <c r="H4" s="169"/>
      <c r="I4" s="280"/>
      <c r="K4" s="278" t="s">
        <v>166</v>
      </c>
      <c r="L4" s="174">
        <f>SUM('2024-25 Running'!A7)</f>
        <v>1200</v>
      </c>
      <c r="M4" s="279">
        <f>SUM('2024-25 Running'!E7)</f>
        <v>1200</v>
      </c>
      <c r="N4" s="279" t="e">
        <f>SUM('2024-25 Running'!I7)</f>
        <v>#REF!</v>
      </c>
      <c r="O4" s="279">
        <v>1200</v>
      </c>
      <c r="P4" s="279">
        <v>1300</v>
      </c>
      <c r="Q4" s="168">
        <f>P4-M4</f>
        <v>100</v>
      </c>
    </row>
    <row r="5" spans="1:17" x14ac:dyDescent="0.25">
      <c r="A5" s="278" t="s">
        <v>167</v>
      </c>
      <c r="B5" s="165">
        <f>SUM('2024-25 Running'!A23)</f>
        <v>106.35</v>
      </c>
      <c r="C5" s="166">
        <f>SUM('2024-25 Running'!E23)</f>
        <v>100</v>
      </c>
      <c r="D5" s="167" t="e">
        <f>SUM('2024-25 Running'!I23)</f>
        <v>#REF!</v>
      </c>
      <c r="E5" s="168">
        <v>104.7</v>
      </c>
      <c r="F5" s="167">
        <v>100</v>
      </c>
      <c r="G5" s="168">
        <f>(F5-C5)</f>
        <v>0</v>
      </c>
      <c r="H5" s="169"/>
      <c r="I5" s="281"/>
      <c r="K5" s="278" t="s">
        <v>168</v>
      </c>
      <c r="L5" s="174">
        <f>SUM('2024-25 Running'!A8)</f>
        <v>153.13999999999999</v>
      </c>
      <c r="M5" s="279">
        <f>SUM('2024-25 Running'!E8)</f>
        <v>150</v>
      </c>
      <c r="N5" s="279" t="e">
        <f>SUM('2024-25 Running'!I8)</f>
        <v>#REF!</v>
      </c>
      <c r="O5" s="279">
        <v>100</v>
      </c>
      <c r="P5" s="279">
        <v>150</v>
      </c>
      <c r="Q5" s="168">
        <f>P5-M5</f>
        <v>0</v>
      </c>
    </row>
    <row r="6" spans="1:17" x14ac:dyDescent="0.25">
      <c r="A6" s="278" t="s">
        <v>169</v>
      </c>
      <c r="B6" s="165">
        <f>SUM('2024-25 Running'!A24)</f>
        <v>82.01</v>
      </c>
      <c r="C6" s="166">
        <f>SUM('2024-25 Running'!E24)</f>
        <v>100</v>
      </c>
      <c r="D6" s="167" t="e">
        <f>SUM('2024-25 Running'!I24)</f>
        <v>#REF!</v>
      </c>
      <c r="E6" s="168">
        <v>50</v>
      </c>
      <c r="F6" s="167">
        <v>50</v>
      </c>
      <c r="G6" s="168">
        <f>(F6-C6)</f>
        <v>-50</v>
      </c>
      <c r="H6" s="169"/>
      <c r="I6" s="280"/>
      <c r="K6" s="278" t="s">
        <v>170</v>
      </c>
      <c r="L6" s="174">
        <f>SUM('2024-25 Running'!A9)</f>
        <v>414.84</v>
      </c>
      <c r="M6" s="279">
        <f>SUM('2024-25 Running'!E9)</f>
        <v>265</v>
      </c>
      <c r="N6" s="279" t="e">
        <f>SUM('2024-25 Running'!I9)</f>
        <v>#REF!</v>
      </c>
      <c r="O6" s="279">
        <v>265</v>
      </c>
      <c r="P6" s="279">
        <v>265</v>
      </c>
      <c r="Q6" s="168">
        <f>P6-M6</f>
        <v>0</v>
      </c>
    </row>
    <row r="7" spans="1:17" ht="15.75" customHeight="1" x14ac:dyDescent="0.25">
      <c r="A7" s="278" t="s">
        <v>171</v>
      </c>
      <c r="B7" s="165">
        <f>SUM('2024-25 Running'!A25)</f>
        <v>4413</v>
      </c>
      <c r="C7" s="166">
        <f>SUM('2024-25 Running'!E25)</f>
        <v>4600</v>
      </c>
      <c r="D7" s="167" t="e">
        <f>SUM('2024-25 Running'!I25)</f>
        <v>#REF!</v>
      </c>
      <c r="E7" s="168">
        <v>4300</v>
      </c>
      <c r="F7" s="167">
        <v>4600</v>
      </c>
      <c r="G7" s="168">
        <f>(F7-C7)</f>
        <v>0</v>
      </c>
      <c r="H7" s="169"/>
      <c r="I7" s="280"/>
      <c r="K7" s="278" t="s">
        <v>172</v>
      </c>
      <c r="L7" s="174">
        <f>SUM('2024-25 Running'!A10)</f>
        <v>250</v>
      </c>
      <c r="M7" s="279">
        <f>SUM('2024-25 Running'!E10)</f>
        <v>125</v>
      </c>
      <c r="N7" s="279" t="e">
        <f>SUM('2024-25 Running'!I10)</f>
        <v>#REF!</v>
      </c>
      <c r="O7" s="279">
        <v>125</v>
      </c>
      <c r="P7" s="279">
        <v>125</v>
      </c>
      <c r="Q7" s="168">
        <f>P7-M7</f>
        <v>0</v>
      </c>
    </row>
    <row r="8" spans="1:17" x14ac:dyDescent="0.25">
      <c r="A8" s="278" t="s">
        <v>173</v>
      </c>
      <c r="B8" s="165">
        <f>SUM('2024-25 Running'!A26)</f>
        <v>9.44</v>
      </c>
      <c r="C8" s="166">
        <f>SUM('2024-25 Running'!E26)</f>
        <v>30</v>
      </c>
      <c r="D8" s="167" t="e">
        <f>SUM('2024-25 Running'!I26)</f>
        <v>#REF!</v>
      </c>
      <c r="E8" s="168">
        <v>0</v>
      </c>
      <c r="F8" s="167">
        <v>20</v>
      </c>
      <c r="G8" s="168">
        <f>(F8-C8)</f>
        <v>-10</v>
      </c>
      <c r="H8" s="169"/>
      <c r="I8" s="280"/>
      <c r="K8" s="278" t="s">
        <v>174</v>
      </c>
      <c r="L8" s="174">
        <f>SUM('2024-25 Running'!A11)</f>
        <v>0</v>
      </c>
      <c r="M8" s="279">
        <f>SUM('2024-25 Running'!E11)</f>
        <v>200</v>
      </c>
      <c r="N8" s="279" t="e">
        <f>SUM('2024-25 Running'!I11)</f>
        <v>#REF!</v>
      </c>
      <c r="O8" s="279">
        <v>0</v>
      </c>
      <c r="P8" s="279">
        <v>0</v>
      </c>
      <c r="Q8" s="168">
        <f t="shared" ref="Q8:Q13" si="1">P8-M8</f>
        <v>-200</v>
      </c>
    </row>
    <row r="9" spans="1:17" x14ac:dyDescent="0.25">
      <c r="A9" s="278" t="s">
        <v>50</v>
      </c>
      <c r="B9" s="165">
        <f>SUM('2024-25 Running'!A27)</f>
        <v>65</v>
      </c>
      <c r="C9" s="166">
        <f>SUM('2024-25 Running'!E27)</f>
        <v>75</v>
      </c>
      <c r="D9" s="167" t="e">
        <f>SUM('2024-25 Running'!I27)</f>
        <v>#REF!</v>
      </c>
      <c r="E9" s="168">
        <v>70</v>
      </c>
      <c r="F9" s="167">
        <v>75</v>
      </c>
      <c r="G9" s="168">
        <f t="shared" ref="G9:G18" si="2">F9-C9</f>
        <v>0</v>
      </c>
      <c r="H9" s="170"/>
      <c r="I9" s="282"/>
      <c r="K9" s="278" t="s">
        <v>71</v>
      </c>
      <c r="L9" s="174">
        <f>SUM('2024-25 Running'!A12)</f>
        <v>2900.23</v>
      </c>
      <c r="M9" s="279">
        <f>SUM('2024-25 Running'!E12)</f>
        <v>0</v>
      </c>
      <c r="N9" s="279" t="e">
        <f>SUM('2024-25 Running'!I12)</f>
        <v>#REF!</v>
      </c>
      <c r="O9" s="279">
        <v>1600</v>
      </c>
      <c r="P9" s="279">
        <v>0</v>
      </c>
      <c r="Q9" s="168">
        <f t="shared" si="1"/>
        <v>0</v>
      </c>
    </row>
    <row r="10" spans="1:17" ht="45" x14ac:dyDescent="0.25">
      <c r="A10" s="278" t="s">
        <v>51</v>
      </c>
      <c r="B10" s="165">
        <f>SUM('2024-25 Running'!A28)</f>
        <v>0</v>
      </c>
      <c r="C10" s="166">
        <f>SUM('2024-25 Running'!E28)</f>
        <v>210</v>
      </c>
      <c r="D10" s="167" t="e">
        <f>SUM('2024-25 Running'!I28)</f>
        <v>#REF!</v>
      </c>
      <c r="E10" s="168">
        <v>0</v>
      </c>
      <c r="F10" s="167">
        <v>0</v>
      </c>
      <c r="G10" s="168">
        <f t="shared" si="2"/>
        <v>-210</v>
      </c>
      <c r="H10" s="170"/>
      <c r="I10" s="278" t="s">
        <v>368</v>
      </c>
      <c r="K10" s="278" t="s">
        <v>175</v>
      </c>
      <c r="L10" s="174">
        <f>SUM('2024-25 Running'!A16)</f>
        <v>69.599999999999994</v>
      </c>
      <c r="M10" s="279">
        <f>SUM('2024-25 Running'!E16)</f>
        <v>0</v>
      </c>
      <c r="N10" s="279" t="e">
        <f>SUM('2024-25 Running'!I16)</f>
        <v>#REF!</v>
      </c>
      <c r="O10" s="279"/>
      <c r="P10" s="279">
        <v>0</v>
      </c>
      <c r="Q10" s="168">
        <f t="shared" si="1"/>
        <v>0</v>
      </c>
    </row>
    <row r="11" spans="1:17" x14ac:dyDescent="0.25">
      <c r="A11" s="278" t="s">
        <v>176</v>
      </c>
      <c r="B11" s="165">
        <f>SUM('2024-25 Running'!A29)</f>
        <v>247.79</v>
      </c>
      <c r="C11" s="166">
        <f>SUM('2024-25 Running'!E29)</f>
        <v>400</v>
      </c>
      <c r="D11" s="167" t="e">
        <f>SUM('2024-25 Running'!I29)</f>
        <v>#REF!</v>
      </c>
      <c r="E11" s="168">
        <v>463.34</v>
      </c>
      <c r="F11" s="167">
        <v>300</v>
      </c>
      <c r="G11" s="168">
        <f t="shared" si="2"/>
        <v>-100</v>
      </c>
      <c r="H11" s="170"/>
      <c r="I11" s="280" t="s">
        <v>341</v>
      </c>
      <c r="K11" s="278" t="s">
        <v>84</v>
      </c>
      <c r="L11" s="174">
        <f>SUM('2024-25 Running'!A13)</f>
        <v>162.72</v>
      </c>
      <c r="M11" s="279">
        <f>SUM('2024-25 Running'!E13)</f>
        <v>0</v>
      </c>
      <c r="N11" s="279" t="e">
        <f>SUM('2024-25 Running'!I13)</f>
        <v>#REF!</v>
      </c>
      <c r="O11" s="279"/>
      <c r="P11" s="279">
        <v>0</v>
      </c>
      <c r="Q11" s="168">
        <f t="shared" si="1"/>
        <v>0</v>
      </c>
    </row>
    <row r="12" spans="1:17" x14ac:dyDescent="0.25">
      <c r="A12" s="364" t="s">
        <v>177</v>
      </c>
      <c r="B12" s="165">
        <f>SUM('2024-25 Running'!A30)</f>
        <v>0</v>
      </c>
      <c r="C12" s="166">
        <f>SUM('2024-25 Running'!E30)</f>
        <v>0</v>
      </c>
      <c r="D12" s="167" t="e">
        <f>SUM('2024-25 Running'!I30)</f>
        <v>#REF!</v>
      </c>
      <c r="E12" s="168">
        <v>0</v>
      </c>
      <c r="F12" s="167">
        <v>0</v>
      </c>
      <c r="G12" s="168">
        <f t="shared" si="2"/>
        <v>0</v>
      </c>
      <c r="H12" s="170"/>
      <c r="I12" s="278"/>
      <c r="K12" s="278" t="s">
        <v>125</v>
      </c>
      <c r="L12" s="174">
        <f>SUM('2024-25 Running'!A17)</f>
        <v>1229.25</v>
      </c>
      <c r="M12" s="279">
        <f>SUM('2024-25 Running'!E17)</f>
        <v>0</v>
      </c>
      <c r="N12" s="279" t="e">
        <f>SUM('2024-25 Running'!I17)</f>
        <v>#REF!</v>
      </c>
      <c r="O12" s="279"/>
      <c r="P12" s="279">
        <v>0</v>
      </c>
      <c r="Q12" s="168">
        <f t="shared" si="1"/>
        <v>0</v>
      </c>
    </row>
    <row r="13" spans="1:17" ht="90" x14ac:dyDescent="0.25">
      <c r="A13" s="278" t="s">
        <v>12</v>
      </c>
      <c r="B13" s="165">
        <f>SUM('2024-25 Running'!A31)</f>
        <v>475.14</v>
      </c>
      <c r="C13" s="166">
        <f>SUM('2024-25 Running'!E31)</f>
        <v>700</v>
      </c>
      <c r="D13" s="167" t="e">
        <f>SUM('2024-25 Running'!I31)</f>
        <v>#REF!</v>
      </c>
      <c r="E13" s="168">
        <v>500</v>
      </c>
      <c r="F13" s="167">
        <v>500</v>
      </c>
      <c r="G13" s="168">
        <f>F13-C13</f>
        <v>-200</v>
      </c>
      <c r="H13" s="170"/>
      <c r="I13" s="278" t="s">
        <v>376</v>
      </c>
      <c r="K13" s="278" t="s">
        <v>209</v>
      </c>
      <c r="L13" s="155">
        <f>SUM('2024-25 Running'!A14)</f>
        <v>0</v>
      </c>
      <c r="M13" s="155">
        <f>SUM('2024-25 Running'!E14)</f>
        <v>350</v>
      </c>
      <c r="N13" s="279" t="e">
        <f>SUM('2024-25 Running'!I14)</f>
        <v>#REF!</v>
      </c>
      <c r="O13" s="279">
        <v>1050</v>
      </c>
      <c r="P13" s="279">
        <v>350</v>
      </c>
      <c r="Q13" s="168">
        <f t="shared" si="1"/>
        <v>0</v>
      </c>
    </row>
    <row r="14" spans="1:17" ht="60" x14ac:dyDescent="0.25">
      <c r="A14" s="278" t="s">
        <v>178</v>
      </c>
      <c r="B14" s="165">
        <f>SUM('2024-25 Running'!A32)</f>
        <v>461.33</v>
      </c>
      <c r="C14" s="166">
        <f>SUM('2024-25 Running'!E32)</f>
        <v>210</v>
      </c>
      <c r="D14" s="167" t="e">
        <f>SUM('2024-25 Running'!I32)</f>
        <v>#REF!</v>
      </c>
      <c r="E14" s="283">
        <v>250</v>
      </c>
      <c r="F14" s="284">
        <v>300</v>
      </c>
      <c r="G14" s="168">
        <f t="shared" si="2"/>
        <v>90</v>
      </c>
      <c r="H14" s="170"/>
      <c r="I14" s="278" t="s">
        <v>370</v>
      </c>
    </row>
    <row r="15" spans="1:17" x14ac:dyDescent="0.25">
      <c r="A15" s="278" t="s">
        <v>73</v>
      </c>
      <c r="B15" s="165">
        <f>SUM('2024-25 Running'!A33)</f>
        <v>180</v>
      </c>
      <c r="C15" s="166">
        <f>SUM('2024-25 Running'!E33)</f>
        <v>140</v>
      </c>
      <c r="D15" s="167" t="e">
        <f>SUM('2024-25 Running'!I33)</f>
        <v>#REF!</v>
      </c>
      <c r="E15" s="168">
        <v>140</v>
      </c>
      <c r="F15" s="168">
        <v>150</v>
      </c>
      <c r="G15" s="168">
        <f t="shared" si="2"/>
        <v>10</v>
      </c>
      <c r="H15" s="170"/>
      <c r="I15" s="282"/>
    </row>
    <row r="16" spans="1:17" x14ac:dyDescent="0.25">
      <c r="A16" s="278" t="s">
        <v>179</v>
      </c>
      <c r="B16" s="165">
        <f>SUM('2024-25 Running'!A34)</f>
        <v>1100</v>
      </c>
      <c r="C16" s="166">
        <f>SUM('2024-25 Running'!E34)</f>
        <v>1100</v>
      </c>
      <c r="D16" s="167" t="e">
        <f>SUM('2024-25 Running'!I34)</f>
        <v>#REF!</v>
      </c>
      <c r="E16" s="168">
        <v>1100</v>
      </c>
      <c r="F16" s="167">
        <v>1100</v>
      </c>
      <c r="G16" s="168">
        <f t="shared" si="2"/>
        <v>0</v>
      </c>
      <c r="H16" s="170"/>
      <c r="I16" s="282" t="s">
        <v>180</v>
      </c>
    </row>
    <row r="17" spans="1:13" x14ac:dyDescent="0.25">
      <c r="A17" s="278" t="s">
        <v>13</v>
      </c>
      <c r="B17" s="165">
        <f>SUM('2024-25 Running'!A35)</f>
        <v>680.05</v>
      </c>
      <c r="C17" s="166">
        <f>SUM('2024-25 Running'!E35)</f>
        <v>700</v>
      </c>
      <c r="D17" s="167" t="e">
        <f>SUM('2024-25 Running'!I35)</f>
        <v>#REF!</v>
      </c>
      <c r="E17" s="168">
        <v>784.92</v>
      </c>
      <c r="F17" s="167">
        <v>850</v>
      </c>
      <c r="G17" s="168">
        <f t="shared" si="2"/>
        <v>150</v>
      </c>
      <c r="H17" s="170"/>
      <c r="I17" s="282"/>
    </row>
    <row r="18" spans="1:13" x14ac:dyDescent="0.25">
      <c r="A18" s="278" t="s">
        <v>181</v>
      </c>
      <c r="B18" s="165">
        <f>SUM('2024-25 Running'!A36)</f>
        <v>105</v>
      </c>
      <c r="C18" s="166">
        <f>SUM('2024-25 Running'!E36)</f>
        <v>120</v>
      </c>
      <c r="D18" s="167" t="e">
        <f>SUM('2024-25 Running'!I36)</f>
        <v>#REF!</v>
      </c>
      <c r="E18" s="168">
        <v>105</v>
      </c>
      <c r="F18" s="167">
        <v>110</v>
      </c>
      <c r="G18" s="168">
        <f t="shared" si="2"/>
        <v>-10</v>
      </c>
      <c r="H18" s="170"/>
      <c r="I18" s="282"/>
    </row>
    <row r="19" spans="1:13" x14ac:dyDescent="0.25">
      <c r="A19" s="278" t="s">
        <v>182</v>
      </c>
      <c r="B19" s="165">
        <f>SUM('2024-25 Running'!A37)</f>
        <v>3456.72</v>
      </c>
      <c r="C19" s="166">
        <f>SUM('2024-25 Running'!E37)</f>
        <v>750</v>
      </c>
      <c r="D19" s="167" t="e">
        <f>SUM('2024-25 Running'!I37)</f>
        <v>#REF!</v>
      </c>
      <c r="E19" s="168">
        <v>2900</v>
      </c>
      <c r="F19" s="167">
        <v>750</v>
      </c>
      <c r="G19" s="168">
        <f>F19-C19</f>
        <v>0</v>
      </c>
      <c r="H19" s="170">
        <v>2246.4</v>
      </c>
      <c r="I19" s="282" t="s">
        <v>352</v>
      </c>
    </row>
    <row r="20" spans="1:13" x14ac:dyDescent="0.25">
      <c r="A20" s="278" t="s">
        <v>183</v>
      </c>
      <c r="B20" s="165">
        <f>SUM('2024-25 Running'!A38)</f>
        <v>475</v>
      </c>
      <c r="C20" s="166">
        <f>SUM('2024-25 Running'!E38)</f>
        <v>200</v>
      </c>
      <c r="D20" s="167" t="e">
        <f>SUM('2024-25 Running'!I38)</f>
        <v>#REF!</v>
      </c>
      <c r="E20" s="168">
        <v>25</v>
      </c>
      <c r="F20" s="167">
        <v>150</v>
      </c>
      <c r="G20" s="168">
        <f>F20-C20</f>
        <v>-50</v>
      </c>
      <c r="H20" s="170"/>
      <c r="I20" s="282"/>
    </row>
    <row r="21" spans="1:13" x14ac:dyDescent="0.25">
      <c r="A21" s="278" t="s">
        <v>184</v>
      </c>
      <c r="B21" s="165">
        <f>SUM('2024-25 Running'!A39)</f>
        <v>0</v>
      </c>
      <c r="C21" s="166">
        <f>SUM('2024-25 Running'!E39)</f>
        <v>50</v>
      </c>
      <c r="D21" s="167" t="e">
        <f>SUM('2024-25 Running'!I39)</f>
        <v>#REF!</v>
      </c>
      <c r="E21" s="168">
        <v>0</v>
      </c>
      <c r="F21" s="167">
        <v>25</v>
      </c>
      <c r="G21" s="168">
        <f t="shared" ref="G21:G28" si="3">F21-C21</f>
        <v>-25</v>
      </c>
      <c r="H21" s="170"/>
      <c r="I21" s="282"/>
    </row>
    <row r="22" spans="1:13" x14ac:dyDescent="0.25">
      <c r="A22" s="278" t="s">
        <v>185</v>
      </c>
      <c r="B22" s="165">
        <f>SUM('2024-25 Running'!A40)</f>
        <v>2056.16</v>
      </c>
      <c r="C22" s="166">
        <f>SUM('2024-25 Running'!E40)</f>
        <v>1200</v>
      </c>
      <c r="D22" s="167" t="e">
        <f>SUM('2024-25 Running'!I40)</f>
        <v>#REF!</v>
      </c>
      <c r="E22" s="168">
        <v>1215</v>
      </c>
      <c r="F22" s="167">
        <v>1300</v>
      </c>
      <c r="G22" s="168">
        <f t="shared" si="3"/>
        <v>100</v>
      </c>
      <c r="H22" s="170"/>
      <c r="I22" s="282"/>
    </row>
    <row r="23" spans="1:13" ht="30" x14ac:dyDescent="0.25">
      <c r="A23" s="278" t="s">
        <v>186</v>
      </c>
      <c r="B23" s="165">
        <f>SUM('2024-25 Running'!A41)</f>
        <v>0</v>
      </c>
      <c r="C23" s="166">
        <f>SUM('2024-25 Running'!E41)</f>
        <v>140</v>
      </c>
      <c r="D23" s="167" t="e">
        <f>SUM('2024-25 Running'!I41)</f>
        <v>#REF!</v>
      </c>
      <c r="E23" s="167">
        <v>123</v>
      </c>
      <c r="F23" s="167">
        <v>140</v>
      </c>
      <c r="G23" s="168">
        <f t="shared" si="3"/>
        <v>0</v>
      </c>
      <c r="H23" s="170"/>
      <c r="I23" s="278" t="s">
        <v>187</v>
      </c>
    </row>
    <row r="24" spans="1:13" x14ac:dyDescent="0.25">
      <c r="A24" s="278" t="s">
        <v>96</v>
      </c>
      <c r="B24" s="165">
        <f>SUM('2024-25 Running'!A42)</f>
        <v>64</v>
      </c>
      <c r="C24" s="166">
        <f>SUM('2024-25 Running'!E42)</f>
        <v>500</v>
      </c>
      <c r="D24" s="167" t="e">
        <f>SUM('2024-25 Running'!I42)</f>
        <v>#REF!</v>
      </c>
      <c r="E24" s="168">
        <v>0</v>
      </c>
      <c r="F24" s="167">
        <v>500</v>
      </c>
      <c r="G24" s="168">
        <f t="shared" si="3"/>
        <v>0</v>
      </c>
      <c r="H24" s="170"/>
      <c r="I24" s="282"/>
    </row>
    <row r="25" spans="1:13" x14ac:dyDescent="0.25">
      <c r="A25" s="278" t="s">
        <v>369</v>
      </c>
      <c r="B25" s="165"/>
      <c r="C25" s="166"/>
      <c r="D25" s="167"/>
      <c r="E25" s="168"/>
      <c r="F25" s="167">
        <v>135</v>
      </c>
      <c r="G25" s="168">
        <f t="shared" si="3"/>
        <v>135</v>
      </c>
      <c r="H25" s="170"/>
      <c r="I25" s="282"/>
    </row>
    <row r="26" spans="1:13" x14ac:dyDescent="0.25">
      <c r="A26" s="278" t="s">
        <v>52</v>
      </c>
      <c r="B26" s="165">
        <f>SUM('2024-25 Running'!A43)</f>
        <v>0</v>
      </c>
      <c r="C26" s="166">
        <f>SUM('2024-25 Running'!E43)</f>
        <v>0</v>
      </c>
      <c r="D26" s="167" t="e">
        <f>SUM('2024-25 Running'!I44)</f>
        <v>#REF!</v>
      </c>
      <c r="E26" s="168">
        <v>0</v>
      </c>
      <c r="F26" s="168"/>
      <c r="G26" s="168">
        <f t="shared" si="3"/>
        <v>0</v>
      </c>
      <c r="H26" s="170"/>
      <c r="I26" s="282" t="s">
        <v>343</v>
      </c>
    </row>
    <row r="27" spans="1:13" x14ac:dyDescent="0.25">
      <c r="A27" s="278" t="s">
        <v>175</v>
      </c>
      <c r="B27" s="165">
        <f>SUM('2024-25 Running'!A44)</f>
        <v>0</v>
      </c>
      <c r="C27" s="166">
        <v>0</v>
      </c>
      <c r="D27" s="167" t="e">
        <f>SUM('2024-25 Running'!I45)</f>
        <v>#REF!</v>
      </c>
      <c r="E27" s="168">
        <v>100</v>
      </c>
      <c r="F27" s="167">
        <v>0</v>
      </c>
      <c r="G27" s="168">
        <f t="shared" si="3"/>
        <v>0</v>
      </c>
      <c r="H27" s="170"/>
      <c r="I27" s="282"/>
    </row>
    <row r="28" spans="1:13" x14ac:dyDescent="0.25">
      <c r="A28" s="278" t="s">
        <v>188</v>
      </c>
      <c r="B28" s="165">
        <f>SUM('2024-25 Running'!A45)</f>
        <v>0</v>
      </c>
      <c r="C28" s="166">
        <f>SUM('2024-25 Running'!E45)</f>
        <v>0</v>
      </c>
      <c r="D28" s="167" t="e">
        <f>SUM('2024-25 Running'!I46)</f>
        <v>#REF!</v>
      </c>
      <c r="E28" s="168">
        <v>0</v>
      </c>
      <c r="F28" s="167">
        <v>0</v>
      </c>
      <c r="G28" s="168">
        <f t="shared" si="3"/>
        <v>0</v>
      </c>
      <c r="H28" s="170"/>
      <c r="I28" s="282"/>
    </row>
    <row r="29" spans="1:13" ht="16.5" thickBot="1" x14ac:dyDescent="0.3">
      <c r="A29" s="31"/>
    </row>
    <row r="30" spans="1:13" ht="45" x14ac:dyDescent="0.25">
      <c r="A30" s="176"/>
      <c r="B30" s="399" t="s">
        <v>107</v>
      </c>
      <c r="C30" s="177">
        <v>45748</v>
      </c>
      <c r="E30" s="178" t="s">
        <v>108</v>
      </c>
      <c r="F30" s="179" t="s">
        <v>189</v>
      </c>
      <c r="G30" s="179" t="s">
        <v>190</v>
      </c>
      <c r="H30" s="179" t="s">
        <v>191</v>
      </c>
      <c r="I30" s="401" t="s">
        <v>192</v>
      </c>
      <c r="J30" s="402"/>
      <c r="K30" s="402"/>
      <c r="L30" s="403"/>
      <c r="M30" s="179" t="s">
        <v>109</v>
      </c>
    </row>
    <row r="31" spans="1:13" x14ac:dyDescent="0.25">
      <c r="A31" s="180"/>
      <c r="B31" s="400"/>
      <c r="C31" s="181"/>
      <c r="E31" s="178"/>
      <c r="F31" s="178"/>
      <c r="G31" s="182"/>
      <c r="H31" s="182"/>
      <c r="I31" s="182"/>
      <c r="J31" s="182"/>
      <c r="K31" s="182"/>
      <c r="L31" s="182"/>
      <c r="M31" s="171"/>
    </row>
    <row r="32" spans="1:13" ht="15.75" thickBot="1" x14ac:dyDescent="0.3">
      <c r="A32" s="183" t="s">
        <v>110</v>
      </c>
      <c r="B32" s="184">
        <f>SUM(B34:B39)</f>
        <v>11346.45</v>
      </c>
      <c r="C32" s="185"/>
      <c r="E32" s="186" t="s">
        <v>111</v>
      </c>
      <c r="F32" s="187">
        <f>SUM(B2)</f>
        <v>19118.43</v>
      </c>
      <c r="G32" s="187" t="e">
        <f>SUM(D2)</f>
        <v>#REF!</v>
      </c>
      <c r="H32" s="187">
        <f>SUM(F2)</f>
        <v>17167</v>
      </c>
      <c r="I32" s="187"/>
      <c r="J32" s="187"/>
      <c r="K32" s="187"/>
      <c r="L32" s="187"/>
      <c r="M32" s="171"/>
    </row>
    <row r="33" spans="1:13" ht="30.75" thickTop="1" x14ac:dyDescent="0.25">
      <c r="A33" s="188" t="s">
        <v>112</v>
      </c>
      <c r="B33" s="189"/>
      <c r="C33" s="190"/>
      <c r="E33" s="191" t="s">
        <v>113</v>
      </c>
      <c r="F33" s="187">
        <f>SUM(L2-L3)</f>
        <v>6379.7799999999988</v>
      </c>
      <c r="G33" s="187">
        <f>SUM(M2-M3)</f>
        <v>2290</v>
      </c>
      <c r="H33" s="187">
        <f>SUM(P2-P3)</f>
        <v>2190</v>
      </c>
      <c r="I33" s="187"/>
      <c r="J33" s="187"/>
      <c r="K33" s="187"/>
      <c r="L33" s="187"/>
      <c r="M33" s="171"/>
    </row>
    <row r="34" spans="1:13" x14ac:dyDescent="0.25">
      <c r="A34" s="192" t="s">
        <v>193</v>
      </c>
      <c r="B34" s="193">
        <f>SUM('Bank Recon'!C11)</f>
        <v>3491.16</v>
      </c>
      <c r="C34" s="285"/>
      <c r="E34" s="186" t="s">
        <v>114</v>
      </c>
      <c r="F34" s="187">
        <v>0</v>
      </c>
      <c r="G34" s="187">
        <v>0</v>
      </c>
      <c r="H34" s="187">
        <v>0</v>
      </c>
      <c r="I34" s="187"/>
      <c r="J34" s="187"/>
      <c r="K34" s="187"/>
      <c r="L34" s="187"/>
      <c r="M34" s="171"/>
    </row>
    <row r="35" spans="1:13" x14ac:dyDescent="0.25">
      <c r="A35" s="192" t="s">
        <v>51</v>
      </c>
      <c r="B35" s="194">
        <v>210</v>
      </c>
      <c r="C35" s="285"/>
      <c r="E35" s="175"/>
      <c r="F35" s="195"/>
      <c r="G35" s="196"/>
      <c r="H35" s="196"/>
      <c r="I35" s="196"/>
      <c r="J35" s="196"/>
      <c r="K35" s="196"/>
      <c r="L35" s="196"/>
      <c r="M35" s="171"/>
    </row>
    <row r="36" spans="1:13" x14ac:dyDescent="0.25">
      <c r="A36" s="192"/>
      <c r="B36" s="194"/>
      <c r="C36" s="285"/>
      <c r="E36" s="197" t="s">
        <v>115</v>
      </c>
      <c r="F36" s="198">
        <f>SUM('2024-25 Running'!A6)</f>
        <v>14600</v>
      </c>
      <c r="G36" s="198">
        <f>SUM('2024-25 Running'!E6)</f>
        <v>16000</v>
      </c>
      <c r="H36" s="198">
        <v>17100</v>
      </c>
      <c r="I36" s="198">
        <f>H$36+1000</f>
        <v>18100</v>
      </c>
      <c r="J36" s="198">
        <f t="shared" ref="J36:L36" si="4">I$36+1000</f>
        <v>19100</v>
      </c>
      <c r="K36" s="198">
        <f t="shared" si="4"/>
        <v>20100</v>
      </c>
      <c r="L36" s="198">
        <f t="shared" si="4"/>
        <v>21100</v>
      </c>
      <c r="M36" s="171"/>
    </row>
    <row r="37" spans="1:13" x14ac:dyDescent="0.25">
      <c r="A37" s="192"/>
      <c r="B37" s="194"/>
      <c r="C37" s="285"/>
      <c r="E37" s="175"/>
      <c r="F37" s="195"/>
      <c r="G37" s="196"/>
      <c r="H37" s="196"/>
      <c r="I37" s="196"/>
      <c r="J37" s="196"/>
      <c r="K37" s="196"/>
      <c r="L37" s="196"/>
      <c r="M37" s="171"/>
    </row>
    <row r="38" spans="1:13" x14ac:dyDescent="0.25">
      <c r="A38" s="286"/>
      <c r="B38" s="199"/>
      <c r="C38" s="285"/>
      <c r="E38" s="200" t="s">
        <v>116</v>
      </c>
      <c r="F38" s="201"/>
      <c r="G38" s="198">
        <f>SUM(G$36-F$36)</f>
        <v>1400</v>
      </c>
      <c r="H38" s="198">
        <f>SUM(H$36-G$36)</f>
        <v>1100</v>
      </c>
      <c r="I38" s="198">
        <f>SUM(I36-$G$36)</f>
        <v>2100</v>
      </c>
      <c r="J38" s="198">
        <f t="shared" ref="J38:L38" si="5">SUM(J36-$G$36)</f>
        <v>3100</v>
      </c>
      <c r="K38" s="198">
        <f t="shared" si="5"/>
        <v>4100</v>
      </c>
      <c r="L38" s="198">
        <f t="shared" si="5"/>
        <v>5100</v>
      </c>
      <c r="M38" s="171"/>
    </row>
    <row r="39" spans="1:13" ht="45" x14ac:dyDescent="0.25">
      <c r="A39" s="188" t="s">
        <v>117</v>
      </c>
      <c r="B39" s="194">
        <f>SUM('Bank Recon'!C12)</f>
        <v>7645.29</v>
      </c>
      <c r="C39" s="287" t="s">
        <v>194</v>
      </c>
      <c r="E39" s="200" t="s">
        <v>118</v>
      </c>
      <c r="F39" s="201"/>
      <c r="G39" s="202">
        <f>G$38/F$36</f>
        <v>9.5890410958904104E-2</v>
      </c>
      <c r="H39" s="202">
        <f>H$38/G$36</f>
        <v>6.8750000000000006E-2</v>
      </c>
      <c r="I39" s="288">
        <f>I38/$G$36</f>
        <v>0.13125000000000001</v>
      </c>
      <c r="J39" s="288">
        <f t="shared" ref="J39:L39" si="6">J38/$G$36</f>
        <v>0.19375000000000001</v>
      </c>
      <c r="K39" s="288">
        <f t="shared" si="6"/>
        <v>0.25624999999999998</v>
      </c>
      <c r="L39" s="288">
        <f t="shared" si="6"/>
        <v>0.31874999999999998</v>
      </c>
      <c r="M39" s="171"/>
    </row>
    <row r="40" spans="1:13" x14ac:dyDescent="0.25">
      <c r="A40" s="286"/>
      <c r="B40" s="203"/>
      <c r="C40" s="285"/>
      <c r="E40" s="175"/>
      <c r="F40" s="195"/>
      <c r="G40" s="289"/>
      <c r="H40" s="289"/>
      <c r="I40" s="289"/>
      <c r="J40" s="289"/>
      <c r="K40" s="289"/>
      <c r="L40" s="289"/>
      <c r="M40" s="171"/>
    </row>
    <row r="41" spans="1:13" x14ac:dyDescent="0.25">
      <c r="A41" s="286"/>
      <c r="B41" s="203"/>
      <c r="C41" s="285"/>
      <c r="E41" s="204"/>
      <c r="F41" s="205"/>
      <c r="G41" s="290"/>
      <c r="H41" s="290"/>
      <c r="I41" s="290"/>
      <c r="J41" s="290"/>
      <c r="K41" s="290"/>
      <c r="L41" s="290"/>
      <c r="M41" s="171"/>
    </row>
    <row r="42" spans="1:13" x14ac:dyDescent="0.25">
      <c r="A42" s="286"/>
      <c r="B42" s="203"/>
      <c r="C42" s="285"/>
      <c r="E42" s="186" t="s">
        <v>119</v>
      </c>
      <c r="F42" s="206"/>
      <c r="G42" s="290"/>
      <c r="H42" s="290"/>
      <c r="I42" s="290"/>
      <c r="J42" s="290"/>
      <c r="K42" s="290"/>
      <c r="L42" s="290"/>
      <c r="M42" s="171"/>
    </row>
    <row r="43" spans="1:13" ht="15.75" thickBot="1" x14ac:dyDescent="0.3">
      <c r="A43" s="291"/>
      <c r="B43" s="207"/>
      <c r="C43" s="292"/>
      <c r="E43" s="204"/>
      <c r="F43" s="205"/>
      <c r="G43" s="290"/>
      <c r="H43" s="290"/>
      <c r="I43" s="290"/>
      <c r="J43" s="290"/>
      <c r="K43" s="290"/>
      <c r="L43" s="290"/>
      <c r="M43" s="171"/>
    </row>
    <row r="44" spans="1:13" x14ac:dyDescent="0.25">
      <c r="E44" s="200" t="s">
        <v>120</v>
      </c>
      <c r="F44" s="293">
        <v>364</v>
      </c>
      <c r="G44" s="293">
        <v>363</v>
      </c>
      <c r="H44" s="293">
        <v>367</v>
      </c>
      <c r="I44" s="293">
        <f>SUM(H44)</f>
        <v>367</v>
      </c>
      <c r="J44" s="293">
        <f t="shared" ref="J44:L44" si="7">SUM(I44)</f>
        <v>367</v>
      </c>
      <c r="K44" s="293">
        <f t="shared" si="7"/>
        <v>367</v>
      </c>
      <c r="L44" s="293">
        <f t="shared" si="7"/>
        <v>367</v>
      </c>
      <c r="M44" s="294"/>
    </row>
    <row r="45" spans="1:13" x14ac:dyDescent="0.25">
      <c r="A45" t="s">
        <v>371</v>
      </c>
      <c r="E45" s="200" t="s">
        <v>121</v>
      </c>
      <c r="F45" s="198">
        <f>F36/F44</f>
        <v>40.109890109890109</v>
      </c>
      <c r="G45" s="198">
        <f>G36/G44</f>
        <v>44.077134986225893</v>
      </c>
      <c r="H45" s="198">
        <f>H36/H44</f>
        <v>46.594005449591279</v>
      </c>
      <c r="I45" s="198">
        <f>I36/I44</f>
        <v>49.318801089918253</v>
      </c>
      <c r="J45" s="198">
        <f t="shared" ref="J45:L45" si="8">J36/J44</f>
        <v>52.043596730245234</v>
      </c>
      <c r="K45" s="198">
        <f t="shared" si="8"/>
        <v>54.768392370572208</v>
      </c>
      <c r="L45" s="198">
        <f t="shared" si="8"/>
        <v>57.493188010899182</v>
      </c>
      <c r="M45" s="171"/>
    </row>
    <row r="46" spans="1:13" x14ac:dyDescent="0.25">
      <c r="A46" t="s">
        <v>372</v>
      </c>
      <c r="E46" s="197" t="s">
        <v>122</v>
      </c>
      <c r="F46" s="208"/>
      <c r="G46" s="288">
        <f>(G$45-F$45)/F$45</f>
        <v>9.8909392807275703E-2</v>
      </c>
      <c r="H46" s="288">
        <f>(H$45-G$45)/G$45</f>
        <v>5.7101498637602201E-2</v>
      </c>
      <c r="I46" s="288">
        <f>(I$45-$G$45)/$G$45</f>
        <v>0.11892029972752043</v>
      </c>
      <c r="J46" s="288">
        <f t="shared" ref="J46:L46" si="9">(J$45-$G$45)/$G$45</f>
        <v>0.1807391008174388</v>
      </c>
      <c r="K46" s="288">
        <f t="shared" si="9"/>
        <v>0.24255790190735704</v>
      </c>
      <c r="L46" s="288">
        <f t="shared" si="9"/>
        <v>0.30437670299727526</v>
      </c>
      <c r="M46" s="171"/>
    </row>
    <row r="47" spans="1:13" x14ac:dyDescent="0.25">
      <c r="G47" t="s">
        <v>350</v>
      </c>
      <c r="H47" s="144">
        <f>SUM(H45-$G$45)</f>
        <v>2.516870463365386</v>
      </c>
      <c r="I47" s="144">
        <f t="shared" ref="I47:L47" si="10">SUM(I45-$G$45)</f>
        <v>5.24166610369236</v>
      </c>
      <c r="J47" s="144">
        <f t="shared" si="10"/>
        <v>7.966461744019341</v>
      </c>
      <c r="K47" s="144">
        <f t="shared" si="10"/>
        <v>10.691257384346315</v>
      </c>
      <c r="L47" s="144">
        <f t="shared" si="10"/>
        <v>13.416053024673289</v>
      </c>
    </row>
    <row r="48" spans="1:13" x14ac:dyDescent="0.25">
      <c r="G48" t="s">
        <v>351</v>
      </c>
      <c r="H48" s="144">
        <f>SUM(H47/12)</f>
        <v>0.20973920528044884</v>
      </c>
      <c r="I48" s="144">
        <f t="shared" ref="I48:L48" si="11">SUM(I47/12)</f>
        <v>0.43680550864103002</v>
      </c>
      <c r="J48" s="144">
        <f t="shared" si="11"/>
        <v>0.66387181200161172</v>
      </c>
      <c r="K48" s="144">
        <f t="shared" si="11"/>
        <v>0.89093811536219292</v>
      </c>
      <c r="L48" s="144">
        <f t="shared" si="11"/>
        <v>1.118004418722774</v>
      </c>
    </row>
    <row r="50" spans="5:6" x14ac:dyDescent="0.25">
      <c r="E50" t="s">
        <v>388</v>
      </c>
    </row>
    <row r="51" spans="5:6" x14ac:dyDescent="0.25">
      <c r="E51" t="s">
        <v>387</v>
      </c>
      <c r="F51">
        <v>31</v>
      </c>
    </row>
    <row r="52" spans="5:6" x14ac:dyDescent="0.25">
      <c r="E52" t="s">
        <v>389</v>
      </c>
      <c r="F52">
        <v>336</v>
      </c>
    </row>
    <row r="53" spans="5:6" x14ac:dyDescent="0.25">
      <c r="F53">
        <f>SUM(F51:F52)</f>
        <v>367</v>
      </c>
    </row>
  </sheetData>
  <mergeCells count="2">
    <mergeCell ref="B30:B31"/>
    <mergeCell ref="I30:L30"/>
  </mergeCells>
  <conditionalFormatting sqref="G3:G28">
    <cfRule type="cellIs" dxfId="5" priority="4" operator="between">
      <formula>0</formula>
      <formula>100</formula>
    </cfRule>
    <cfRule type="cellIs" dxfId="4" priority="5" operator="lessThan">
      <formula>0</formula>
    </cfRule>
    <cfRule type="cellIs" dxfId="3" priority="6" operator="greaterThan">
      <formula>100</formula>
    </cfRule>
  </conditionalFormatting>
  <conditionalFormatting sqref="Q3:Q13">
    <cfRule type="cellIs" dxfId="2" priority="1" operator="between">
      <formula>0</formula>
      <formula>100</formula>
    </cfRule>
    <cfRule type="cellIs" dxfId="1" priority="2" operator="lessThan">
      <formula>0</formula>
    </cfRule>
    <cfRule type="cellIs" dxfId="0" priority="3" operator="greaterThan">
      <formula>100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2024-25 Running</vt:lpstr>
      <vt:lpstr>Ear Marked Funds</vt:lpstr>
      <vt:lpstr>Bank Account</vt:lpstr>
      <vt:lpstr>Grants</vt:lpstr>
      <vt:lpstr>Bank Recon</vt:lpstr>
      <vt:lpstr>Year to Date</vt:lpstr>
      <vt:lpstr>Variances</vt:lpstr>
      <vt:lpstr>Annual Return</vt:lpstr>
      <vt:lpstr>Budget 2025-26</vt:lpstr>
      <vt:lpstr>'Bank Account'!Print_Area</vt:lpstr>
      <vt:lpstr>Grants!Print_Area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Carle Petersen</dc:creator>
  <cp:lastModifiedBy>Charlotte Rust</cp:lastModifiedBy>
  <cp:revision/>
  <cp:lastPrinted>2022-04-02T11:33:48Z</cp:lastPrinted>
  <dcterms:created xsi:type="dcterms:W3CDTF">2012-08-13T19:33:46Z</dcterms:created>
  <dcterms:modified xsi:type="dcterms:W3CDTF">2025-07-02T09:51:21Z</dcterms:modified>
</cp:coreProperties>
</file>